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martin\Dropbox\DHS Complaint\Shelter Records\2025\"/>
    </mc:Choice>
  </mc:AlternateContent>
  <xr:revisionPtr revIDLastSave="0" documentId="13_ncr:1_{13DC1578-30BB-40EF-834E-3449B7F5E198}" xr6:coauthVersionLast="47" xr6:coauthVersionMax="47" xr10:uidLastSave="{00000000-0000-0000-0000-000000000000}"/>
  <bookViews>
    <workbookView xWindow="-120" yWindow="-120" windowWidth="29040" windowHeight="15720" activeTab="3" xr2:uid="{EF053F45-93EB-7A47-87B2-3B0AE32715D2}"/>
  </bookViews>
  <sheets>
    <sheet name="Template" sheetId="1" r:id="rId1"/>
    <sheet name="Cats - 2025" sheetId="6" r:id="rId2"/>
    <sheet name="Cat Report" sheetId="7" r:id="rId3"/>
    <sheet name="Dogs - 2025" sheetId="5" r:id="rId4"/>
    <sheet name="Dog Report" sheetId="8" r:id="rId5"/>
    <sheet name="Other - 2025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7" l="1"/>
  <c r="N5" i="7"/>
  <c r="N6" i="7"/>
  <c r="N7" i="7"/>
  <c r="N8" i="7"/>
  <c r="N9" i="7"/>
  <c r="N3" i="7"/>
  <c r="E62" i="7"/>
  <c r="D62" i="7"/>
  <c r="C62" i="7"/>
  <c r="B62" i="7"/>
  <c r="E61" i="7"/>
  <c r="D61" i="7"/>
  <c r="C61" i="7"/>
  <c r="B61" i="7"/>
  <c r="E60" i="7"/>
  <c r="D60" i="7"/>
  <c r="C60" i="7"/>
  <c r="B60" i="7"/>
  <c r="E59" i="7"/>
  <c r="D59" i="7"/>
  <c r="C59" i="7"/>
  <c r="B59" i="7"/>
  <c r="E58" i="7"/>
  <c r="D58" i="7"/>
  <c r="C58" i="7"/>
  <c r="B58" i="7"/>
  <c r="E57" i="7"/>
  <c r="F57" i="7" s="1"/>
  <c r="D57" i="7"/>
  <c r="C57" i="7"/>
  <c r="B57" i="7"/>
  <c r="E56" i="7"/>
  <c r="D56" i="7"/>
  <c r="C56" i="7"/>
  <c r="B56" i="7"/>
  <c r="E55" i="7"/>
  <c r="D55" i="7"/>
  <c r="C55" i="7"/>
  <c r="B55" i="7"/>
  <c r="E54" i="7"/>
  <c r="D54" i="7"/>
  <c r="C54" i="7"/>
  <c r="B54" i="7"/>
  <c r="E53" i="7"/>
  <c r="D53" i="7"/>
  <c r="C53" i="7"/>
  <c r="B53" i="7"/>
  <c r="E52" i="7"/>
  <c r="D52" i="7"/>
  <c r="C52" i="7"/>
  <c r="B52" i="7"/>
  <c r="E51" i="7"/>
  <c r="D51" i="7"/>
  <c r="C51" i="7"/>
  <c r="B51" i="7"/>
  <c r="F61" i="7"/>
  <c r="F59" i="7"/>
  <c r="L46" i="7"/>
  <c r="K46" i="7"/>
  <c r="J46" i="7"/>
  <c r="I46" i="7"/>
  <c r="L45" i="7"/>
  <c r="K45" i="7"/>
  <c r="J45" i="7"/>
  <c r="M45" i="7" s="1"/>
  <c r="I45" i="7"/>
  <c r="L44" i="7"/>
  <c r="K44" i="7"/>
  <c r="J44" i="7"/>
  <c r="I44" i="7"/>
  <c r="L43" i="7"/>
  <c r="K43" i="7"/>
  <c r="J43" i="7"/>
  <c r="I43" i="7"/>
  <c r="L42" i="7"/>
  <c r="K42" i="7"/>
  <c r="J42" i="7"/>
  <c r="I42" i="7"/>
  <c r="L41" i="7"/>
  <c r="K41" i="7"/>
  <c r="J41" i="7"/>
  <c r="I41" i="7"/>
  <c r="L40" i="7"/>
  <c r="K40" i="7"/>
  <c r="J40" i="7"/>
  <c r="I40" i="7"/>
  <c r="L39" i="7"/>
  <c r="K39" i="7"/>
  <c r="J39" i="7"/>
  <c r="I39" i="7"/>
  <c r="L38" i="7"/>
  <c r="K38" i="7"/>
  <c r="J38" i="7"/>
  <c r="I38" i="7"/>
  <c r="L37" i="7"/>
  <c r="K37" i="7"/>
  <c r="J37" i="7"/>
  <c r="I37" i="7"/>
  <c r="L36" i="7"/>
  <c r="K36" i="7"/>
  <c r="J36" i="7"/>
  <c r="I36" i="7"/>
  <c r="L35" i="7"/>
  <c r="L47" i="7" s="1"/>
  <c r="K35" i="7"/>
  <c r="J35" i="7"/>
  <c r="I35" i="7"/>
  <c r="I47" i="7" s="1"/>
  <c r="E46" i="7"/>
  <c r="D46" i="7"/>
  <c r="C46" i="7"/>
  <c r="B46" i="7"/>
  <c r="E45" i="7"/>
  <c r="D45" i="7"/>
  <c r="C45" i="7"/>
  <c r="B45" i="7"/>
  <c r="E44" i="7"/>
  <c r="D44" i="7"/>
  <c r="C44" i="7"/>
  <c r="B44" i="7"/>
  <c r="E43" i="7"/>
  <c r="D43" i="7"/>
  <c r="F43" i="7" s="1"/>
  <c r="C43" i="7"/>
  <c r="B43" i="7"/>
  <c r="E42" i="7"/>
  <c r="D42" i="7"/>
  <c r="C42" i="7"/>
  <c r="B42" i="7"/>
  <c r="E41" i="7"/>
  <c r="D41" i="7"/>
  <c r="C41" i="7"/>
  <c r="B41" i="7"/>
  <c r="E40" i="7"/>
  <c r="D40" i="7"/>
  <c r="C40" i="7"/>
  <c r="B40" i="7"/>
  <c r="E39" i="7"/>
  <c r="D39" i="7"/>
  <c r="C39" i="7"/>
  <c r="B39" i="7"/>
  <c r="E38" i="7"/>
  <c r="D38" i="7"/>
  <c r="C38" i="7"/>
  <c r="B38" i="7"/>
  <c r="E37" i="7"/>
  <c r="D37" i="7"/>
  <c r="C37" i="7"/>
  <c r="B37" i="7"/>
  <c r="E36" i="7"/>
  <c r="D36" i="7"/>
  <c r="C36" i="7"/>
  <c r="B36" i="7"/>
  <c r="E35" i="7"/>
  <c r="E47" i="7" s="1"/>
  <c r="D35" i="7"/>
  <c r="D47" i="7" s="1"/>
  <c r="C35" i="7"/>
  <c r="B35" i="7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B46" i="8"/>
  <c r="B45" i="8"/>
  <c r="B44" i="8"/>
  <c r="B43" i="8"/>
  <c r="B42" i="8"/>
  <c r="B41" i="8"/>
  <c r="B40" i="8"/>
  <c r="B39" i="8"/>
  <c r="B38" i="8"/>
  <c r="B37" i="8"/>
  <c r="B36" i="8"/>
  <c r="B35" i="8"/>
  <c r="E62" i="8"/>
  <c r="D62" i="8"/>
  <c r="C62" i="8"/>
  <c r="B62" i="8"/>
  <c r="F62" i="8" s="1"/>
  <c r="E61" i="8"/>
  <c r="D61" i="8"/>
  <c r="C61" i="8"/>
  <c r="B61" i="8"/>
  <c r="F61" i="8" s="1"/>
  <c r="E60" i="8"/>
  <c r="D60" i="8"/>
  <c r="C60" i="8"/>
  <c r="B60" i="8"/>
  <c r="F60" i="8" s="1"/>
  <c r="E59" i="8"/>
  <c r="D59" i="8"/>
  <c r="F59" i="8" s="1"/>
  <c r="C59" i="8"/>
  <c r="B59" i="8"/>
  <c r="E58" i="8"/>
  <c r="D58" i="8"/>
  <c r="C58" i="8"/>
  <c r="B58" i="8"/>
  <c r="F58" i="8" s="1"/>
  <c r="F57" i="8"/>
  <c r="E57" i="8"/>
  <c r="D57" i="8"/>
  <c r="C57" i="8"/>
  <c r="B57" i="8"/>
  <c r="E56" i="8"/>
  <c r="D56" i="8"/>
  <c r="C56" i="8"/>
  <c r="F56" i="8" s="1"/>
  <c r="B56" i="8"/>
  <c r="E55" i="8"/>
  <c r="D55" i="8"/>
  <c r="C55" i="8"/>
  <c r="B55" i="8"/>
  <c r="F55" i="8" s="1"/>
  <c r="E54" i="8"/>
  <c r="D54" i="8"/>
  <c r="C54" i="8"/>
  <c r="B54" i="8"/>
  <c r="F54" i="8" s="1"/>
  <c r="E53" i="8"/>
  <c r="D53" i="8"/>
  <c r="C53" i="8"/>
  <c r="B53" i="8"/>
  <c r="F53" i="8" s="1"/>
  <c r="E52" i="8"/>
  <c r="D52" i="8"/>
  <c r="C52" i="8"/>
  <c r="B52" i="8"/>
  <c r="F52" i="8" s="1"/>
  <c r="E51" i="8"/>
  <c r="E63" i="8" s="1"/>
  <c r="D51" i="8"/>
  <c r="D63" i="8" s="1"/>
  <c r="C51" i="8"/>
  <c r="C63" i="8" s="1"/>
  <c r="B51" i="8"/>
  <c r="B63" i="8" s="1"/>
  <c r="L46" i="8"/>
  <c r="L45" i="8"/>
  <c r="L44" i="8"/>
  <c r="L43" i="8"/>
  <c r="L42" i="8"/>
  <c r="L41" i="8"/>
  <c r="L40" i="8"/>
  <c r="L39" i="8"/>
  <c r="L38" i="8"/>
  <c r="L37" i="8"/>
  <c r="L36" i="8"/>
  <c r="L35" i="8"/>
  <c r="K46" i="8"/>
  <c r="K45" i="8"/>
  <c r="K44" i="8"/>
  <c r="K43" i="8"/>
  <c r="K42" i="8"/>
  <c r="K41" i="8"/>
  <c r="K40" i="8"/>
  <c r="K39" i="8"/>
  <c r="K38" i="8"/>
  <c r="K37" i="8"/>
  <c r="K36" i="8"/>
  <c r="K35" i="8"/>
  <c r="J46" i="8"/>
  <c r="J45" i="8"/>
  <c r="J44" i="8"/>
  <c r="J43" i="8"/>
  <c r="J42" i="8"/>
  <c r="J41" i="8"/>
  <c r="J40" i="8"/>
  <c r="J39" i="8"/>
  <c r="J38" i="8"/>
  <c r="J37" i="8"/>
  <c r="J36" i="8"/>
  <c r="J35" i="8"/>
  <c r="I46" i="8"/>
  <c r="I45" i="8"/>
  <c r="I44" i="8"/>
  <c r="I43" i="8"/>
  <c r="I42" i="8"/>
  <c r="I41" i="8"/>
  <c r="I40" i="8"/>
  <c r="I39" i="8"/>
  <c r="I38" i="8"/>
  <c r="I37" i="8"/>
  <c r="I36" i="8"/>
  <c r="I35" i="8"/>
  <c r="F615" i="5" a="1"/>
  <c r="F615" i="5" s="1"/>
  <c r="I615" i="5" s="1"/>
  <c r="H615" i="5"/>
  <c r="F612" i="5" a="1"/>
  <c r="F612" i="5" s="1"/>
  <c r="F613" i="5" a="1"/>
  <c r="F613" i="5" s="1"/>
  <c r="F614" i="5" a="1"/>
  <c r="F614" i="5" s="1"/>
  <c r="F616" i="5" a="1"/>
  <c r="F616" i="5" s="1"/>
  <c r="F617" i="5" a="1"/>
  <c r="F617" i="5" s="1"/>
  <c r="F619" i="5" a="1"/>
  <c r="F619" i="5" s="1"/>
  <c r="F621" i="5" a="1"/>
  <c r="F621" i="5" s="1"/>
  <c r="F622" i="5" a="1"/>
  <c r="F622" i="5" s="1"/>
  <c r="F624" i="5" a="1"/>
  <c r="F624" i="5" s="1"/>
  <c r="F625" i="5" a="1"/>
  <c r="F625" i="5" s="1"/>
  <c r="F626" i="5" a="1"/>
  <c r="F626" i="5" s="1"/>
  <c r="F628" i="5" a="1"/>
  <c r="F628" i="5" s="1"/>
  <c r="F629" i="5" a="1"/>
  <c r="F629" i="5" s="1"/>
  <c r="F630" i="5" a="1"/>
  <c r="F630" i="5" s="1"/>
  <c r="F631" i="5" a="1"/>
  <c r="F631" i="5" s="1"/>
  <c r="F632" i="5" a="1"/>
  <c r="F632" i="5" s="1"/>
  <c r="F633" i="5" a="1"/>
  <c r="F633" i="5" s="1"/>
  <c r="F634" i="5" a="1"/>
  <c r="F634" i="5" s="1"/>
  <c r="F635" i="5" a="1"/>
  <c r="F635" i="5" s="1"/>
  <c r="F637" i="5" a="1"/>
  <c r="F637" i="5" s="1"/>
  <c r="F644" i="5" a="1"/>
  <c r="F644" i="5" s="1"/>
  <c r="F645" i="5" a="1"/>
  <c r="F645" i="5" s="1"/>
  <c r="F646" i="5" a="1"/>
  <c r="F646" i="5" s="1"/>
  <c r="F647" i="5" a="1"/>
  <c r="F647" i="5" s="1"/>
  <c r="F649" i="5" a="1"/>
  <c r="F649" i="5" s="1"/>
  <c r="F650" i="5" a="1"/>
  <c r="F650" i="5" s="1"/>
  <c r="F651" i="5" a="1"/>
  <c r="F651" i="5" s="1"/>
  <c r="F652" i="5" a="1"/>
  <c r="F652" i="5" s="1"/>
  <c r="F653" i="5" a="1"/>
  <c r="F653" i="5" s="1"/>
  <c r="F654" i="5" a="1"/>
  <c r="F654" i="5" s="1"/>
  <c r="F656" i="5" a="1"/>
  <c r="F656" i="5" s="1"/>
  <c r="F657" i="5" a="1"/>
  <c r="F657" i="5" s="1"/>
  <c r="F658" i="5" a="1"/>
  <c r="F658" i="5" s="1"/>
  <c r="F660" i="5" a="1"/>
  <c r="F660" i="5" s="1"/>
  <c r="F667" i="5" a="1"/>
  <c r="F667" i="5" s="1"/>
  <c r="F677" i="5" a="1"/>
  <c r="F677" i="5" s="1"/>
  <c r="F680" i="5" a="1"/>
  <c r="F680" i="5" s="1"/>
  <c r="F681" i="5" a="1"/>
  <c r="F681" i="5" s="1"/>
  <c r="F611" i="5" a="1"/>
  <c r="F611" i="5" s="1"/>
  <c r="F610" i="5" a="1"/>
  <c r="F610" i="5" s="1"/>
  <c r="F609" i="5" a="1"/>
  <c r="F609" i="5" s="1"/>
  <c r="F608" i="5" a="1"/>
  <c r="F608" i="5" s="1"/>
  <c r="F607" i="5" a="1"/>
  <c r="F607" i="5" s="1"/>
  <c r="F605" i="5" a="1"/>
  <c r="F605" i="5" s="1"/>
  <c r="F604" i="5" a="1"/>
  <c r="F604" i="5" s="1"/>
  <c r="F603" i="5" a="1"/>
  <c r="F603" i="5" s="1"/>
  <c r="F600" i="5" a="1"/>
  <c r="F600" i="5" s="1"/>
  <c r="F599" i="5" a="1"/>
  <c r="F599" i="5" s="1"/>
  <c r="F598" i="5" a="1"/>
  <c r="F598" i="5" s="1"/>
  <c r="F597" i="5" a="1"/>
  <c r="F597" i="5" s="1"/>
  <c r="F596" i="5" a="1"/>
  <c r="F596" i="5" s="1"/>
  <c r="F595" i="5" a="1"/>
  <c r="F595" i="5" s="1"/>
  <c r="F583" i="5" a="1"/>
  <c r="F583" i="5" s="1"/>
  <c r="F582" i="5" a="1"/>
  <c r="F582" i="5" s="1"/>
  <c r="F581" i="5" a="1"/>
  <c r="F581" i="5" s="1"/>
  <c r="F580" i="5" a="1"/>
  <c r="F580" i="5" s="1"/>
  <c r="F579" i="5" a="1"/>
  <c r="F579" i="5" s="1"/>
  <c r="F578" i="5" a="1"/>
  <c r="F578" i="5" s="1"/>
  <c r="F577" i="5" a="1"/>
  <c r="F577" i="5" s="1"/>
  <c r="F576" i="5" a="1"/>
  <c r="F576" i="5" s="1"/>
  <c r="H399" i="5"/>
  <c r="F399" i="5" a="1"/>
  <c r="F399" i="5" s="1"/>
  <c r="I399" i="5" s="1"/>
  <c r="F601" i="5" a="1"/>
  <c r="F601" i="5" s="1"/>
  <c r="F602" i="5" a="1"/>
  <c r="F602" i="5" s="1"/>
  <c r="F618" i="5" a="1"/>
  <c r="F618" i="5" s="1"/>
  <c r="F620" i="5" a="1"/>
  <c r="F620" i="5" s="1"/>
  <c r="F623" i="5" a="1"/>
  <c r="F623" i="5" s="1"/>
  <c r="F641" i="5" a="1"/>
  <c r="F641" i="5" s="1"/>
  <c r="F642" i="5" a="1"/>
  <c r="F642" i="5" s="1"/>
  <c r="F643" i="5" a="1"/>
  <c r="F643" i="5" s="1"/>
  <c r="F445" i="5" a="1"/>
  <c r="F445" i="5" s="1"/>
  <c r="F569" i="5" a="1"/>
  <c r="F569" i="5" s="1"/>
  <c r="F410" i="5" a="1"/>
  <c r="F410" i="5" s="1"/>
  <c r="F411" i="5" a="1"/>
  <c r="F411" i="5" s="1"/>
  <c r="F412" i="5" a="1"/>
  <c r="F412" i="5" s="1"/>
  <c r="F414" i="5" a="1"/>
  <c r="F414" i="5" s="1"/>
  <c r="F443" i="5" a="1"/>
  <c r="F443" i="5" s="1"/>
  <c r="F444" i="5" a="1"/>
  <c r="F444" i="5" s="1"/>
  <c r="F507" i="5" a="1"/>
  <c r="F507" i="5" s="1"/>
  <c r="F518" i="5" a="1"/>
  <c r="F518" i="5" s="1"/>
  <c r="F519" i="5" a="1"/>
  <c r="F519" i="5" s="1"/>
  <c r="F526" i="5" a="1"/>
  <c r="F526" i="5" s="1"/>
  <c r="F537" i="5" a="1"/>
  <c r="F537" i="5" s="1"/>
  <c r="F540" i="5" a="1"/>
  <c r="F540" i="5" s="1"/>
  <c r="F544" i="5" a="1"/>
  <c r="F544" i="5" s="1"/>
  <c r="F546" i="5" a="1"/>
  <c r="F546" i="5" s="1"/>
  <c r="F547" i="5" a="1"/>
  <c r="F547" i="5" s="1"/>
  <c r="F548" i="5" a="1"/>
  <c r="F548" i="5" s="1"/>
  <c r="F550" i="5" a="1"/>
  <c r="F550" i="5" s="1"/>
  <c r="F551" i="5" a="1"/>
  <c r="F551" i="5" s="1"/>
  <c r="F552" i="5" a="1"/>
  <c r="F552" i="5" s="1"/>
  <c r="F553" i="5" a="1"/>
  <c r="F553" i="5" s="1"/>
  <c r="F554" i="5" a="1"/>
  <c r="F554" i="5" s="1"/>
  <c r="F555" i="5" a="1"/>
  <c r="F555" i="5" s="1"/>
  <c r="F556" i="5" a="1"/>
  <c r="F556" i="5" s="1"/>
  <c r="F557" i="5" a="1"/>
  <c r="F557" i="5" s="1"/>
  <c r="F558" i="5" a="1"/>
  <c r="F558" i="5" s="1"/>
  <c r="F562" i="5" a="1"/>
  <c r="F562" i="5" s="1"/>
  <c r="F563" i="5" a="1"/>
  <c r="F563" i="5" s="1"/>
  <c r="F564" i="5" a="1"/>
  <c r="F564" i="5" s="1"/>
  <c r="F567" i="5" a="1"/>
  <c r="F567" i="5" s="1"/>
  <c r="F568" i="5" a="1"/>
  <c r="F568" i="5" s="1"/>
  <c r="F570" i="5" a="1"/>
  <c r="F570" i="5" s="1"/>
  <c r="F572" i="5" a="1"/>
  <c r="F572" i="5" s="1"/>
  <c r="F573" i="5" a="1"/>
  <c r="F573" i="5" s="1"/>
  <c r="F574" i="5" a="1"/>
  <c r="F574" i="5" s="1"/>
  <c r="F514" i="5" a="1"/>
  <c r="F514" i="5" s="1"/>
  <c r="F515" i="5" a="1"/>
  <c r="F515" i="5" s="1"/>
  <c r="F516" i="5" a="1"/>
  <c r="F516" i="5" s="1"/>
  <c r="F517" i="5" a="1"/>
  <c r="F517" i="5" s="1"/>
  <c r="F520" i="5" a="1"/>
  <c r="F520" i="5" s="1"/>
  <c r="F521" i="5" a="1"/>
  <c r="F521" i="5" s="1"/>
  <c r="F522" i="5" a="1"/>
  <c r="F522" i="5" s="1"/>
  <c r="F523" i="5" a="1"/>
  <c r="F523" i="5" s="1"/>
  <c r="F524" i="5" a="1"/>
  <c r="F524" i="5" s="1"/>
  <c r="F525" i="5" a="1"/>
  <c r="F525" i="5" s="1"/>
  <c r="F528" i="5" a="1"/>
  <c r="F528" i="5" s="1"/>
  <c r="F529" i="5" a="1"/>
  <c r="F529" i="5" s="1"/>
  <c r="F531" i="5" a="1"/>
  <c r="F531" i="5" s="1"/>
  <c r="F532" i="5" a="1"/>
  <c r="F532" i="5" s="1"/>
  <c r="F533" i="5" a="1"/>
  <c r="F533" i="5" s="1"/>
  <c r="F534" i="5" a="1"/>
  <c r="F534" i="5" s="1"/>
  <c r="F535" i="5" a="1"/>
  <c r="F535" i="5" s="1"/>
  <c r="F536" i="5" a="1"/>
  <c r="F536" i="5" s="1"/>
  <c r="F538" i="5" a="1"/>
  <c r="F538" i="5" s="1"/>
  <c r="F539" i="5" a="1"/>
  <c r="F539" i="5" s="1"/>
  <c r="F541" i="5" a="1"/>
  <c r="F541" i="5" s="1"/>
  <c r="F542" i="5" a="1"/>
  <c r="F542" i="5" s="1"/>
  <c r="F543" i="5" a="1"/>
  <c r="F543" i="5" s="1"/>
  <c r="F545" i="5" a="1"/>
  <c r="F545" i="5" s="1"/>
  <c r="F549" i="5" a="1"/>
  <c r="F549" i="5" s="1"/>
  <c r="F559" i="5" a="1"/>
  <c r="F559" i="5" s="1"/>
  <c r="F560" i="5" a="1"/>
  <c r="F560" i="5" s="1"/>
  <c r="F561" i="5" a="1"/>
  <c r="F561" i="5" s="1"/>
  <c r="F565" i="5" a="1"/>
  <c r="F565" i="5" s="1"/>
  <c r="F566" i="5" a="1"/>
  <c r="F566" i="5" s="1"/>
  <c r="F442" i="5" a="1"/>
  <c r="F442" i="5" s="1"/>
  <c r="F470" i="5" a="1"/>
  <c r="F470" i="5" s="1"/>
  <c r="F471" i="5" a="1"/>
  <c r="F471" i="5" s="1"/>
  <c r="F472" i="5" a="1"/>
  <c r="F472" i="5" s="1"/>
  <c r="F473" i="5" a="1"/>
  <c r="F473" i="5" s="1"/>
  <c r="F475" i="5" a="1"/>
  <c r="F475" i="5" s="1"/>
  <c r="F476" i="5" a="1"/>
  <c r="F476" i="5" s="1"/>
  <c r="F477" i="5" a="1"/>
  <c r="F477" i="5" s="1"/>
  <c r="F480" i="5" a="1"/>
  <c r="F480" i="5" s="1"/>
  <c r="F481" i="5" a="1"/>
  <c r="F481" i="5" s="1"/>
  <c r="F484" i="5" a="1"/>
  <c r="F484" i="5" s="1"/>
  <c r="F485" i="5" a="1"/>
  <c r="F485" i="5" s="1"/>
  <c r="F486" i="5" a="1"/>
  <c r="F486" i="5" s="1"/>
  <c r="F487" i="5" a="1"/>
  <c r="F487" i="5" s="1"/>
  <c r="F490" i="5" a="1"/>
  <c r="F490" i="5" s="1"/>
  <c r="F491" i="5" a="1"/>
  <c r="F491" i="5" s="1"/>
  <c r="F492" i="5" a="1"/>
  <c r="F492" i="5" s="1"/>
  <c r="F493" i="5" a="1"/>
  <c r="F493" i="5" s="1"/>
  <c r="F494" i="5" a="1"/>
  <c r="F494" i="5" s="1"/>
  <c r="F495" i="5" a="1"/>
  <c r="F495" i="5" s="1"/>
  <c r="F496" i="5" a="1"/>
  <c r="F496" i="5" s="1"/>
  <c r="F497" i="5" a="1"/>
  <c r="F497" i="5" s="1"/>
  <c r="F498" i="5" a="1"/>
  <c r="F498" i="5" s="1"/>
  <c r="F499" i="5" a="1"/>
  <c r="F499" i="5" s="1"/>
  <c r="F500" i="5" a="1"/>
  <c r="F500" i="5" s="1"/>
  <c r="F501" i="5" a="1"/>
  <c r="F501" i="5" s="1"/>
  <c r="F502" i="5" a="1"/>
  <c r="F502" i="5" s="1"/>
  <c r="F503" i="5" a="1"/>
  <c r="F503" i="5" s="1"/>
  <c r="F504" i="5" a="1"/>
  <c r="F504" i="5" s="1"/>
  <c r="F505" i="5" a="1"/>
  <c r="F505" i="5" s="1"/>
  <c r="F506" i="5" a="1"/>
  <c r="F506" i="5" s="1"/>
  <c r="F508" i="5" a="1"/>
  <c r="F508" i="5" s="1"/>
  <c r="F509" i="5" a="1"/>
  <c r="F509" i="5" s="1"/>
  <c r="F510" i="5" a="1"/>
  <c r="F510" i="5" s="1"/>
  <c r="F511" i="5" a="1"/>
  <c r="F511" i="5" s="1"/>
  <c r="F512" i="5" a="1"/>
  <c r="F512" i="5" s="1"/>
  <c r="F513" i="5" a="1"/>
  <c r="F513" i="5" s="1"/>
  <c r="P19" i="5"/>
  <c r="P18" i="5"/>
  <c r="P17" i="5"/>
  <c r="P16" i="5"/>
  <c r="P15" i="5"/>
  <c r="T20" i="5"/>
  <c r="T18" i="5"/>
  <c r="T17" i="5"/>
  <c r="T16" i="5"/>
  <c r="T15" i="5"/>
  <c r="T11" i="5"/>
  <c r="T7" i="5"/>
  <c r="C47" i="7" l="1"/>
  <c r="F40" i="7"/>
  <c r="F44" i="7"/>
  <c r="F46" i="7"/>
  <c r="M38" i="7"/>
  <c r="M40" i="7"/>
  <c r="M42" i="7"/>
  <c r="M46" i="7"/>
  <c r="E63" i="7"/>
  <c r="F52" i="7"/>
  <c r="F54" i="7"/>
  <c r="F58" i="7"/>
  <c r="F60" i="7"/>
  <c r="F62" i="7"/>
  <c r="M37" i="7"/>
  <c r="M39" i="7"/>
  <c r="M43" i="7"/>
  <c r="K47" i="7"/>
  <c r="M41" i="7"/>
  <c r="F51" i="7"/>
  <c r="F53" i="7"/>
  <c r="F55" i="7"/>
  <c r="F63" i="7" s="1"/>
  <c r="F49" i="7" s="1"/>
  <c r="M36" i="7"/>
  <c r="M44" i="7"/>
  <c r="D63" i="7"/>
  <c r="F36" i="7"/>
  <c r="F38" i="7"/>
  <c r="F42" i="7"/>
  <c r="F35" i="7"/>
  <c r="F47" i="7" s="1"/>
  <c r="F33" i="7" s="1"/>
  <c r="F37" i="7"/>
  <c r="F39" i="7"/>
  <c r="F41" i="7"/>
  <c r="F45" i="7"/>
  <c r="J47" i="7"/>
  <c r="F56" i="7"/>
  <c r="C63" i="7"/>
  <c r="B63" i="7"/>
  <c r="M35" i="7"/>
  <c r="B47" i="7"/>
  <c r="F51" i="8"/>
  <c r="F63" i="8" s="1"/>
  <c r="F49" i="8" s="1"/>
  <c r="L47" i="8"/>
  <c r="K47" i="8"/>
  <c r="M46" i="8"/>
  <c r="M45" i="8"/>
  <c r="M44" i="8"/>
  <c r="M43" i="8"/>
  <c r="M42" i="8"/>
  <c r="M41" i="8"/>
  <c r="M40" i="8"/>
  <c r="M39" i="8"/>
  <c r="M38" i="8"/>
  <c r="M37" i="8"/>
  <c r="M36" i="8"/>
  <c r="J47" i="8"/>
  <c r="I47" i="8"/>
  <c r="M35" i="8"/>
  <c r="E47" i="8"/>
  <c r="D47" i="8"/>
  <c r="F46" i="8"/>
  <c r="F45" i="8"/>
  <c r="F44" i="8"/>
  <c r="F43" i="8"/>
  <c r="F42" i="8"/>
  <c r="F41" i="8"/>
  <c r="F40" i="8"/>
  <c r="F39" i="8"/>
  <c r="F38" i="8"/>
  <c r="C47" i="8"/>
  <c r="F35" i="8"/>
  <c r="F37" i="8"/>
  <c r="F36" i="8"/>
  <c r="B47" i="8"/>
  <c r="F134" i="5" a="1"/>
  <c r="F134" i="5" s="1"/>
  <c r="I134" i="5" s="1"/>
  <c r="F136" i="5" a="1"/>
  <c r="F136" i="5" s="1"/>
  <c r="I136" i="5" s="1"/>
  <c r="F271" i="5" a="1"/>
  <c r="F271" i="5" s="1"/>
  <c r="I271" i="5" s="1"/>
  <c r="F272" i="5" a="1"/>
  <c r="F272" i="5" s="1"/>
  <c r="I272" i="5" s="1"/>
  <c r="F281" i="5" a="1"/>
  <c r="F281" i="5" s="1"/>
  <c r="I281" i="5" s="1"/>
  <c r="F289" i="5" a="1"/>
  <c r="F289" i="5" s="1"/>
  <c r="I289" i="5" s="1"/>
  <c r="F366" i="5" a="1"/>
  <c r="F366" i="5" s="1"/>
  <c r="I366" i="5" s="1"/>
  <c r="F367" i="5" a="1"/>
  <c r="F367" i="5" s="1"/>
  <c r="I367" i="5" s="1"/>
  <c r="F373" i="5" a="1"/>
  <c r="F373" i="5" s="1"/>
  <c r="I373" i="5" s="1"/>
  <c r="F378" i="5" a="1"/>
  <c r="F378" i="5" s="1"/>
  <c r="I378" i="5" s="1"/>
  <c r="F379" i="5" a="1"/>
  <c r="F379" i="5" s="1"/>
  <c r="I379" i="5" s="1"/>
  <c r="F389" i="5" a="1"/>
  <c r="F389" i="5" s="1"/>
  <c r="I389" i="5" s="1"/>
  <c r="F390" i="5" a="1"/>
  <c r="F390" i="5" s="1"/>
  <c r="I390" i="5" s="1"/>
  <c r="F391" i="5" a="1"/>
  <c r="F391" i="5" s="1"/>
  <c r="I391" i="5" s="1"/>
  <c r="F394" i="5" a="1"/>
  <c r="F394" i="5" s="1"/>
  <c r="I394" i="5" s="1"/>
  <c r="F401" i="5" a="1"/>
  <c r="F401" i="5" s="1"/>
  <c r="I401" i="5" s="1"/>
  <c r="F402" i="5" a="1"/>
  <c r="F402" i="5" s="1"/>
  <c r="I402" i="5" s="1"/>
  <c r="F405" i="5" a="1"/>
  <c r="F405" i="5" s="1"/>
  <c r="I405" i="5" s="1"/>
  <c r="F406" i="5" a="1"/>
  <c r="F406" i="5" s="1"/>
  <c r="I406" i="5" s="1"/>
  <c r="F407" i="5" a="1"/>
  <c r="F407" i="5" s="1"/>
  <c r="I407" i="5" s="1"/>
  <c r="F408" i="5" a="1"/>
  <c r="F408" i="5" s="1"/>
  <c r="I408" i="5" s="1"/>
  <c r="F409" i="5" a="1"/>
  <c r="F409" i="5" s="1"/>
  <c r="I409" i="5" s="1"/>
  <c r="F422" i="5" a="1"/>
  <c r="F422" i="5" s="1"/>
  <c r="I422" i="5" s="1"/>
  <c r="F437" i="5" a="1"/>
  <c r="F437" i="5" s="1"/>
  <c r="I437" i="5" s="1"/>
  <c r="F438" i="5" a="1"/>
  <c r="F438" i="5" s="1"/>
  <c r="I438" i="5" s="1"/>
  <c r="F439" i="5" a="1"/>
  <c r="F439" i="5" s="1"/>
  <c r="I439" i="5" s="1"/>
  <c r="F446" i="5" a="1"/>
  <c r="F446" i="5" s="1"/>
  <c r="I446" i="5" s="1"/>
  <c r="F447" i="5" a="1"/>
  <c r="F447" i="5" s="1"/>
  <c r="I447" i="5" s="1"/>
  <c r="F448" i="5" a="1"/>
  <c r="F448" i="5" s="1"/>
  <c r="I448" i="5" s="1"/>
  <c r="F449" i="5" a="1"/>
  <c r="F449" i="5" s="1"/>
  <c r="I449" i="5" s="1"/>
  <c r="F450" i="5" a="1"/>
  <c r="F450" i="5" s="1"/>
  <c r="I450" i="5" s="1"/>
  <c r="F451" i="5" a="1"/>
  <c r="F451" i="5" s="1"/>
  <c r="I451" i="5" s="1"/>
  <c r="F452" i="5" a="1"/>
  <c r="F452" i="5" s="1"/>
  <c r="I452" i="5" s="1"/>
  <c r="F453" i="5" a="1"/>
  <c r="F453" i="5" s="1"/>
  <c r="I453" i="5" s="1"/>
  <c r="F454" i="5" a="1"/>
  <c r="F454" i="5" s="1"/>
  <c r="I454" i="5" s="1"/>
  <c r="F455" i="5" a="1"/>
  <c r="F455" i="5" s="1"/>
  <c r="I455" i="5" s="1"/>
  <c r="F456" i="5" a="1"/>
  <c r="F456" i="5" s="1"/>
  <c r="I456" i="5" s="1"/>
  <c r="F457" i="5" a="1"/>
  <c r="F457" i="5" s="1"/>
  <c r="I457" i="5" s="1"/>
  <c r="F335" i="5" a="1"/>
  <c r="F335" i="5" s="1"/>
  <c r="I335" i="5" s="1"/>
  <c r="F323" i="5" a="1"/>
  <c r="F323" i="5" s="1"/>
  <c r="I323" i="5" s="1"/>
  <c r="F319" i="5" a="1"/>
  <c r="F319" i="5" s="1"/>
  <c r="I319" i="5" s="1"/>
  <c r="F317" i="5" a="1"/>
  <c r="F317" i="5" s="1"/>
  <c r="I317" i="5" s="1"/>
  <c r="F284" i="5" a="1"/>
  <c r="F284" i="5" s="1"/>
  <c r="I284" i="5" s="1"/>
  <c r="F278" i="5" a="1"/>
  <c r="F278" i="5" s="1"/>
  <c r="I278" i="5" s="1"/>
  <c r="F273" i="5" a="1"/>
  <c r="F273" i="5" s="1"/>
  <c r="I273" i="5" s="1"/>
  <c r="F267" i="5" a="1"/>
  <c r="F267" i="5" s="1"/>
  <c r="I267" i="5" s="1"/>
  <c r="F266" i="5" a="1"/>
  <c r="F266" i="5" s="1"/>
  <c r="I266" i="5" s="1"/>
  <c r="F265" i="5" a="1"/>
  <c r="F265" i="5" s="1"/>
  <c r="I265" i="5" s="1"/>
  <c r="F264" i="5" a="1"/>
  <c r="F264" i="5" s="1"/>
  <c r="I264" i="5" s="1"/>
  <c r="F263" i="5" a="1"/>
  <c r="F263" i="5" s="1"/>
  <c r="I263" i="5" s="1"/>
  <c r="F261" i="5" a="1"/>
  <c r="F261" i="5" s="1"/>
  <c r="I261" i="5" s="1"/>
  <c r="F257" i="5" a="1"/>
  <c r="F257" i="5" s="1"/>
  <c r="I257" i="5" s="1"/>
  <c r="F252" i="5" a="1"/>
  <c r="F252" i="5" s="1"/>
  <c r="I252" i="5" s="1"/>
  <c r="F244" i="5" a="1"/>
  <c r="F244" i="5" s="1"/>
  <c r="I244" i="5" s="1"/>
  <c r="F243" i="5" a="1"/>
  <c r="F243" i="5" s="1"/>
  <c r="I243" i="5" s="1"/>
  <c r="F242" i="5" a="1"/>
  <c r="F242" i="5" s="1"/>
  <c r="I242" i="5" s="1"/>
  <c r="F241" i="5" a="1"/>
  <c r="F241" i="5" s="1"/>
  <c r="I241" i="5" s="1"/>
  <c r="F233" i="5" a="1"/>
  <c r="F233" i="5" s="1"/>
  <c r="I233" i="5" s="1"/>
  <c r="F231" i="5" a="1"/>
  <c r="F231" i="5" s="1"/>
  <c r="I231" i="5" s="1"/>
  <c r="F228" i="5" a="1"/>
  <c r="F228" i="5" s="1"/>
  <c r="I228" i="5" s="1"/>
  <c r="F227" i="5" a="1"/>
  <c r="F227" i="5" s="1"/>
  <c r="I227" i="5" s="1"/>
  <c r="F226" i="5" a="1"/>
  <c r="F226" i="5" s="1"/>
  <c r="I226" i="5" s="1"/>
  <c r="F219" i="5" a="1"/>
  <c r="F219" i="5" s="1"/>
  <c r="I219" i="5" s="1"/>
  <c r="F218" i="5" a="1"/>
  <c r="F218" i="5" s="1"/>
  <c r="I218" i="5" s="1"/>
  <c r="F346" i="5" a="1"/>
  <c r="F346" i="5" s="1"/>
  <c r="I346" i="5" s="1"/>
  <c r="F345" i="5" a="1"/>
  <c r="F345" i="5" s="1"/>
  <c r="I345" i="5" s="1"/>
  <c r="F316" i="5" a="1"/>
  <c r="F316" i="5" s="1"/>
  <c r="I316" i="5" s="1"/>
  <c r="F315" i="5" a="1"/>
  <c r="F315" i="5" s="1"/>
  <c r="I315" i="5" s="1"/>
  <c r="F306" i="5" a="1"/>
  <c r="F306" i="5" s="1"/>
  <c r="I306" i="5" s="1"/>
  <c r="F303" i="5" a="1"/>
  <c r="F303" i="5" s="1"/>
  <c r="I303" i="5" s="1"/>
  <c r="F302" i="5" a="1"/>
  <c r="F302" i="5" s="1"/>
  <c r="I302" i="5" s="1"/>
  <c r="F301" i="5" a="1"/>
  <c r="F301" i="5" s="1"/>
  <c r="I301" i="5" s="1"/>
  <c r="F300" i="5" a="1"/>
  <c r="F300" i="5" s="1"/>
  <c r="I300" i="5" s="1"/>
  <c r="F299" i="5" a="1"/>
  <c r="F299" i="5" s="1"/>
  <c r="I299" i="5" s="1"/>
  <c r="F298" i="5" a="1"/>
  <c r="F298" i="5" s="1"/>
  <c r="I298" i="5" s="1"/>
  <c r="F291" i="5" a="1"/>
  <c r="F291" i="5" s="1"/>
  <c r="I291" i="5" s="1"/>
  <c r="F288" i="5" a="1"/>
  <c r="F288" i="5" s="1"/>
  <c r="I288" i="5" s="1"/>
  <c r="F287" i="5" a="1"/>
  <c r="F287" i="5" s="1"/>
  <c r="I287" i="5" s="1"/>
  <c r="F286" i="5" a="1"/>
  <c r="F286" i="5" s="1"/>
  <c r="I286" i="5" s="1"/>
  <c r="F285" i="5" a="1"/>
  <c r="F285" i="5" s="1"/>
  <c r="I285" i="5" s="1"/>
  <c r="F277" i="5" a="1"/>
  <c r="F277" i="5" s="1"/>
  <c r="I277" i="5" s="1"/>
  <c r="F276" i="5" a="1"/>
  <c r="F276" i="5" s="1"/>
  <c r="I276" i="5" s="1"/>
  <c r="F256" i="5" a="1"/>
  <c r="F256" i="5" s="1"/>
  <c r="I256" i="5" s="1"/>
  <c r="F255" i="5" a="1"/>
  <c r="F255" i="5" s="1"/>
  <c r="I255" i="5" s="1"/>
  <c r="F254" i="5" a="1"/>
  <c r="F254" i="5" s="1"/>
  <c r="I254" i="5" s="1"/>
  <c r="F253" i="5" a="1"/>
  <c r="F253" i="5" s="1"/>
  <c r="I253" i="5" s="1"/>
  <c r="F250" i="5" a="1"/>
  <c r="F250" i="5" s="1"/>
  <c r="I250" i="5" s="1"/>
  <c r="F249" i="5" a="1"/>
  <c r="F249" i="5" s="1"/>
  <c r="I249" i="5" s="1"/>
  <c r="F248" i="5" a="1"/>
  <c r="F248" i="5" s="1"/>
  <c r="I248" i="5" s="1"/>
  <c r="F246" i="5" a="1"/>
  <c r="F246" i="5" s="1"/>
  <c r="I246" i="5" s="1"/>
  <c r="F245" i="5" a="1"/>
  <c r="F245" i="5" s="1"/>
  <c r="I245" i="5" s="1"/>
  <c r="F240" i="5" a="1"/>
  <c r="F240" i="5" s="1"/>
  <c r="I240" i="5" s="1"/>
  <c r="F238" i="5" a="1"/>
  <c r="F238" i="5" s="1"/>
  <c r="I238" i="5" s="1"/>
  <c r="F239" i="5" a="1"/>
  <c r="F239" i="5" s="1"/>
  <c r="I239" i="5" s="1"/>
  <c r="F237" i="5" a="1"/>
  <c r="F237" i="5" s="1"/>
  <c r="I237" i="5" s="1"/>
  <c r="F236" i="5" a="1"/>
  <c r="F236" i="5" s="1"/>
  <c r="I236" i="5" s="1"/>
  <c r="F235" i="5" a="1"/>
  <c r="F235" i="5" s="1"/>
  <c r="I235" i="5" s="1"/>
  <c r="F225" i="5" a="1"/>
  <c r="F225" i="5" s="1"/>
  <c r="I225" i="5" s="1"/>
  <c r="F224" i="5" a="1"/>
  <c r="F224" i="5" s="1"/>
  <c r="I224" i="5" s="1"/>
  <c r="F223" i="5" a="1"/>
  <c r="F223" i="5" s="1"/>
  <c r="I223" i="5" s="1"/>
  <c r="F222" i="5" a="1"/>
  <c r="F222" i="5" s="1"/>
  <c r="I222" i="5" s="1"/>
  <c r="F221" i="5" a="1"/>
  <c r="F221" i="5" s="1"/>
  <c r="I221" i="5" s="1"/>
  <c r="F220" i="5" a="1"/>
  <c r="F220" i="5" s="1"/>
  <c r="I220" i="5" s="1"/>
  <c r="F304" i="5" a="1"/>
  <c r="F304" i="5" s="1"/>
  <c r="I304" i="5" s="1"/>
  <c r="F283" i="5" a="1"/>
  <c r="F283" i="5" s="1"/>
  <c r="I283" i="5" s="1"/>
  <c r="F234" i="5" a="1"/>
  <c r="F234" i="5" s="1"/>
  <c r="I234" i="5" s="1"/>
  <c r="F232" i="5" a="1"/>
  <c r="F232" i="5" s="1"/>
  <c r="I232" i="5" s="1"/>
  <c r="F433" i="5" a="1"/>
  <c r="F433" i="5" s="1"/>
  <c r="I433" i="5" s="1"/>
  <c r="F400" i="5" a="1"/>
  <c r="F400" i="5" s="1"/>
  <c r="I400" i="5" s="1"/>
  <c r="F381" i="5" a="1"/>
  <c r="F381" i="5" s="1"/>
  <c r="I381" i="5" s="1"/>
  <c r="F380" i="5" a="1"/>
  <c r="F380" i="5" s="1"/>
  <c r="I380" i="5" s="1"/>
  <c r="F372" i="5" a="1"/>
  <c r="F372" i="5" s="1"/>
  <c r="I372" i="5" s="1"/>
  <c r="F361" i="5" a="1"/>
  <c r="F361" i="5" s="1"/>
  <c r="I361" i="5" s="1"/>
  <c r="F332" i="5" a="1"/>
  <c r="F332" i="5" s="1"/>
  <c r="I332" i="5" s="1"/>
  <c r="F462" i="5" a="1"/>
  <c r="F462" i="5" s="1"/>
  <c r="I462" i="5" s="1"/>
  <c r="F404" i="5" a="1"/>
  <c r="F404" i="5" s="1"/>
  <c r="I404" i="5" s="1"/>
  <c r="F403" i="5" a="1"/>
  <c r="F403" i="5" s="1"/>
  <c r="I403" i="5" s="1"/>
  <c r="F398" i="5" a="1"/>
  <c r="F398" i="5" s="1"/>
  <c r="I398" i="5" s="1"/>
  <c r="F397" i="5" a="1"/>
  <c r="F397" i="5" s="1"/>
  <c r="I397" i="5" s="1"/>
  <c r="F382" i="5" a="1"/>
  <c r="F382" i="5" s="1"/>
  <c r="I382" i="5" s="1"/>
  <c r="F375" i="5" a="1"/>
  <c r="F375" i="5" s="1"/>
  <c r="I375" i="5" s="1"/>
  <c r="F374" i="5" a="1"/>
  <c r="F374" i="5" s="1"/>
  <c r="I374" i="5" s="1"/>
  <c r="F362" i="5" a="1"/>
  <c r="F362" i="5" s="1"/>
  <c r="I362" i="5" s="1"/>
  <c r="F351" i="5" a="1"/>
  <c r="F351" i="5" s="1"/>
  <c r="I351" i="5" s="1"/>
  <c r="F350" i="5" a="1"/>
  <c r="F350" i="5" s="1"/>
  <c r="I350" i="5" s="1"/>
  <c r="F340" i="5" a="1"/>
  <c r="F340" i="5" s="1"/>
  <c r="I340" i="5" s="1"/>
  <c r="F330" i="5" a="1"/>
  <c r="F330" i="5" s="1"/>
  <c r="I330" i="5" s="1"/>
  <c r="F328" i="5" a="1"/>
  <c r="F328" i="5" s="1"/>
  <c r="I328" i="5" s="1"/>
  <c r="F327" i="5" a="1"/>
  <c r="F327" i="5" s="1"/>
  <c r="I327" i="5" s="1"/>
  <c r="F326" i="5" a="1"/>
  <c r="F326" i="5" s="1"/>
  <c r="I326" i="5" s="1"/>
  <c r="F318" i="5" a="1"/>
  <c r="F318" i="5" s="1"/>
  <c r="I318" i="5" s="1"/>
  <c r="F310" i="5" a="1"/>
  <c r="F310" i="5" s="1"/>
  <c r="I310" i="5" s="1"/>
  <c r="F415" i="5" a="1"/>
  <c r="F415" i="5" s="1"/>
  <c r="I415" i="5" s="1"/>
  <c r="F482" i="5" a="1"/>
  <c r="F482" i="5" s="1"/>
  <c r="I482" i="5" s="1"/>
  <c r="F479" i="5" a="1"/>
  <c r="F479" i="5" s="1"/>
  <c r="I479" i="5" s="1"/>
  <c r="F478" i="5" a="1"/>
  <c r="F478" i="5" s="1"/>
  <c r="I478" i="5" s="1"/>
  <c r="F474" i="5" a="1"/>
  <c r="F474" i="5" s="1"/>
  <c r="I474" i="5" s="1"/>
  <c r="F460" i="5" a="1"/>
  <c r="F460" i="5" s="1"/>
  <c r="I460" i="5" s="1"/>
  <c r="F440" i="5" a="1"/>
  <c r="F440" i="5" s="1"/>
  <c r="I440" i="5" s="1"/>
  <c r="F436" i="5" a="1"/>
  <c r="F436" i="5" s="1"/>
  <c r="I436" i="5" s="1"/>
  <c r="F425" i="5" a="1"/>
  <c r="F425" i="5" s="1"/>
  <c r="I425" i="5" s="1"/>
  <c r="F423" i="5" a="1"/>
  <c r="F423" i="5" s="1"/>
  <c r="I423" i="5" s="1"/>
  <c r="F388" i="5" a="1"/>
  <c r="F388" i="5" s="1"/>
  <c r="I388" i="5" s="1"/>
  <c r="F387" i="5" a="1"/>
  <c r="F387" i="5" s="1"/>
  <c r="I387" i="5" s="1"/>
  <c r="F386" i="5" a="1"/>
  <c r="F386" i="5" s="1"/>
  <c r="I386" i="5" s="1"/>
  <c r="F371" i="5" a="1"/>
  <c r="F371" i="5" s="1"/>
  <c r="I371" i="5" s="1"/>
  <c r="F368" i="5" a="1"/>
  <c r="F368" i="5" s="1"/>
  <c r="I368" i="5" s="1"/>
  <c r="F483" i="5" a="1"/>
  <c r="F483" i="5" s="1"/>
  <c r="I483" i="5" s="1"/>
  <c r="F365" i="5" a="1"/>
  <c r="F365" i="5" s="1"/>
  <c r="I365" i="5" s="1"/>
  <c r="F466" i="5" a="1"/>
  <c r="F466" i="5" s="1"/>
  <c r="I466" i="5" s="1"/>
  <c r="F179" i="5" a="1"/>
  <c r="F179" i="5" s="1"/>
  <c r="I179" i="5" s="1"/>
  <c r="F432" i="5" a="1"/>
  <c r="F432" i="5" s="1"/>
  <c r="I432" i="5" s="1"/>
  <c r="F396" i="5" a="1"/>
  <c r="F396" i="5" s="1"/>
  <c r="I396" i="5" s="1"/>
  <c r="F342" i="5" a="1"/>
  <c r="F342" i="5" s="1"/>
  <c r="I342" i="5" s="1"/>
  <c r="F427" i="5" a="1"/>
  <c r="F427" i="5" s="1"/>
  <c r="I427" i="5" s="1"/>
  <c r="F426" i="5" a="1"/>
  <c r="F426" i="5" s="1"/>
  <c r="I426" i="5" s="1"/>
  <c r="F376" i="5" a="1"/>
  <c r="F376" i="5" s="1"/>
  <c r="I376" i="5" s="1"/>
  <c r="F341" i="5" a="1"/>
  <c r="F341" i="5" s="1"/>
  <c r="I341" i="5" s="1"/>
  <c r="F430" i="5" a="1"/>
  <c r="F430" i="5" s="1"/>
  <c r="I430" i="5" s="1"/>
  <c r="F385" i="5" a="1"/>
  <c r="F385" i="5" s="1"/>
  <c r="I385" i="5" s="1"/>
  <c r="F369" i="5" a="1"/>
  <c r="F369" i="5" s="1"/>
  <c r="I369" i="5" s="1"/>
  <c r="F467" i="5" a="1"/>
  <c r="F467" i="5" s="1"/>
  <c r="I467" i="5" s="1"/>
  <c r="F465" i="5" a="1"/>
  <c r="F465" i="5" s="1"/>
  <c r="I465" i="5" s="1"/>
  <c r="F464" i="5" a="1"/>
  <c r="F464" i="5" s="1"/>
  <c r="I464" i="5" s="1"/>
  <c r="F463" i="5" a="1"/>
  <c r="F463" i="5" s="1"/>
  <c r="I463" i="5" s="1"/>
  <c r="F461" i="5" a="1"/>
  <c r="F461" i="5" s="1"/>
  <c r="I461" i="5" s="1"/>
  <c r="F441" i="5" a="1"/>
  <c r="F441" i="5" s="1"/>
  <c r="I441" i="5" s="1"/>
  <c r="F435" i="5" a="1"/>
  <c r="F435" i="5" s="1"/>
  <c r="I435" i="5" s="1"/>
  <c r="F434" i="5" a="1"/>
  <c r="F434" i="5" s="1"/>
  <c r="I434" i="5" s="1"/>
  <c r="F431" i="5" a="1"/>
  <c r="F431" i="5" s="1"/>
  <c r="I431" i="5" s="1"/>
  <c r="F429" i="5" a="1"/>
  <c r="F429" i="5" s="1"/>
  <c r="I429" i="5" s="1"/>
  <c r="F428" i="5" a="1"/>
  <c r="F428" i="5" s="1"/>
  <c r="I428" i="5" s="1"/>
  <c r="F424" i="5" a="1"/>
  <c r="F424" i="5" s="1"/>
  <c r="I424" i="5" s="1"/>
  <c r="F421" i="5" a="1"/>
  <c r="F421" i="5" s="1"/>
  <c r="I421" i="5" s="1"/>
  <c r="F420" i="5" a="1"/>
  <c r="F420" i="5" s="1"/>
  <c r="I420" i="5" s="1"/>
  <c r="F419" i="5" a="1"/>
  <c r="F419" i="5" s="1"/>
  <c r="I419" i="5" s="1"/>
  <c r="F418" i="5" a="1"/>
  <c r="F418" i="5" s="1"/>
  <c r="I418" i="5" s="1"/>
  <c r="F417" i="5" a="1"/>
  <c r="F417" i="5" s="1"/>
  <c r="I417" i="5" s="1"/>
  <c r="F416" i="5" a="1"/>
  <c r="F416" i="5" s="1"/>
  <c r="I416" i="5" s="1"/>
  <c r="F395" i="5" a="1"/>
  <c r="F395" i="5" s="1"/>
  <c r="I395" i="5" s="1"/>
  <c r="F393" i="5" a="1"/>
  <c r="F393" i="5" s="1"/>
  <c r="I393" i="5" s="1"/>
  <c r="F392" i="5" a="1"/>
  <c r="F392" i="5" s="1"/>
  <c r="I392" i="5" s="1"/>
  <c r="F384" i="5" a="1"/>
  <c r="F384" i="5" s="1"/>
  <c r="I384" i="5" s="1"/>
  <c r="F383" i="5" a="1"/>
  <c r="F383" i="5" s="1"/>
  <c r="I383" i="5" s="1"/>
  <c r="F377" i="5" a="1"/>
  <c r="F377" i="5" s="1"/>
  <c r="I377" i="5" s="1"/>
  <c r="F370" i="5" a="1"/>
  <c r="F370" i="5" s="1"/>
  <c r="I370" i="5" s="1"/>
  <c r="F364" i="5" a="1"/>
  <c r="F364" i="5" s="1"/>
  <c r="I364" i="5" s="1"/>
  <c r="F357" i="5" a="1"/>
  <c r="F357" i="5" s="1"/>
  <c r="I357" i="5" s="1"/>
  <c r="F356" i="5" a="1"/>
  <c r="F356" i="5" s="1"/>
  <c r="I356" i="5" s="1"/>
  <c r="F354" i="5" a="1"/>
  <c r="F354" i="5" s="1"/>
  <c r="I354" i="5" s="1"/>
  <c r="F353" i="5" a="1"/>
  <c r="F353" i="5" s="1"/>
  <c r="I353" i="5" s="1"/>
  <c r="F352" i="5" a="1"/>
  <c r="F352" i="5" s="1"/>
  <c r="I352" i="5" s="1"/>
  <c r="F349" i="5" a="1"/>
  <c r="F349" i="5" s="1"/>
  <c r="I349" i="5" s="1"/>
  <c r="F347" i="5" a="1"/>
  <c r="F347" i="5" s="1"/>
  <c r="I347" i="5" s="1"/>
  <c r="F343" i="5" a="1"/>
  <c r="F343" i="5" s="1"/>
  <c r="I343" i="5" s="1"/>
  <c r="F338" i="5" a="1"/>
  <c r="F338" i="5" s="1"/>
  <c r="I338" i="5" s="1"/>
  <c r="F337" i="5" a="1"/>
  <c r="F337" i="5" s="1"/>
  <c r="I337" i="5" s="1"/>
  <c r="F325" i="5" a="1"/>
  <c r="F325" i="5" s="1"/>
  <c r="I325" i="5" s="1"/>
  <c r="F324" i="5" a="1"/>
  <c r="F324" i="5" s="1"/>
  <c r="I324" i="5" s="1"/>
  <c r="F307" i="5" a="1"/>
  <c r="F307" i="5" s="1"/>
  <c r="I307" i="5" s="1"/>
  <c r="F274" i="5" a="1"/>
  <c r="F274" i="5" s="1"/>
  <c r="I274" i="5" s="1"/>
  <c r="F469" i="5" a="1"/>
  <c r="F469" i="5" s="1"/>
  <c r="I469" i="5" s="1"/>
  <c r="F459" i="5" a="1"/>
  <c r="F459" i="5" s="1"/>
  <c r="I459" i="5" s="1"/>
  <c r="F458" i="5" a="1"/>
  <c r="F458" i="5" s="1"/>
  <c r="I458" i="5" s="1"/>
  <c r="F339" i="5" a="1"/>
  <c r="F339" i="5" s="1"/>
  <c r="I339" i="5" s="1"/>
  <c r="F348" i="5" a="1"/>
  <c r="F348" i="5" s="1"/>
  <c r="I348" i="5" s="1"/>
  <c r="F247" i="5" a="1"/>
  <c r="F247" i="5" s="1"/>
  <c r="I247" i="5" s="1"/>
  <c r="F251" i="5" a="1"/>
  <c r="F251" i="5" s="1"/>
  <c r="I251" i="5" s="1"/>
  <c r="F262" i="5" a="1"/>
  <c r="F262" i="5" s="1"/>
  <c r="I262" i="5" s="1"/>
  <c r="F275" i="5" a="1"/>
  <c r="F275" i="5" s="1"/>
  <c r="I275" i="5" s="1"/>
  <c r="F282" i="5" a="1"/>
  <c r="F282" i="5" s="1"/>
  <c r="I282" i="5" s="1"/>
  <c r="F290" i="5" a="1"/>
  <c r="F290" i="5" s="1"/>
  <c r="I290" i="5" s="1"/>
  <c r="F296" i="5" a="1"/>
  <c r="F296" i="5" s="1"/>
  <c r="I296" i="5" s="1"/>
  <c r="F309" i="5" a="1"/>
  <c r="F309" i="5" s="1"/>
  <c r="I309" i="5" s="1"/>
  <c r="F311" i="5" a="1"/>
  <c r="F311" i="5" s="1"/>
  <c r="I311" i="5" s="1"/>
  <c r="F320" i="5" a="1"/>
  <c r="F320" i="5" s="1"/>
  <c r="I320" i="5" s="1"/>
  <c r="F329" i="5" a="1"/>
  <c r="F329" i="5" s="1"/>
  <c r="I329" i="5" s="1"/>
  <c r="F186" i="5" a="1"/>
  <c r="F186" i="5" s="1"/>
  <c r="I186" i="5" s="1"/>
  <c r="F189" i="5" a="1"/>
  <c r="F189" i="5" s="1"/>
  <c r="I189" i="5" s="1"/>
  <c r="F206" i="5" a="1"/>
  <c r="F206" i="5" s="1"/>
  <c r="I206" i="5" s="1"/>
  <c r="F258" i="5" a="1"/>
  <c r="F258" i="5" s="1"/>
  <c r="I258" i="5" s="1"/>
  <c r="F279" i="5" a="1"/>
  <c r="F279" i="5" s="1"/>
  <c r="I279" i="5" s="1"/>
  <c r="F280" i="5" a="1"/>
  <c r="F280" i="5" s="1"/>
  <c r="I280" i="5" s="1"/>
  <c r="F295" i="5" a="1"/>
  <c r="F295" i="5" s="1"/>
  <c r="I295" i="5" s="1"/>
  <c r="F297" i="5" a="1"/>
  <c r="F297" i="5" s="1"/>
  <c r="I297" i="5" s="1"/>
  <c r="F305" i="5" a="1"/>
  <c r="F305" i="5" s="1"/>
  <c r="I305" i="5" s="1"/>
  <c r="F229" i="5" a="1"/>
  <c r="F229" i="5" s="1"/>
  <c r="I229" i="5" s="1"/>
  <c r="F259" i="5" a="1"/>
  <c r="F259" i="5" s="1"/>
  <c r="I259" i="5" s="1"/>
  <c r="F260" i="5" a="1"/>
  <c r="F260" i="5" s="1"/>
  <c r="I260" i="5" s="1"/>
  <c r="F268" i="5" a="1"/>
  <c r="F268" i="5" s="1"/>
  <c r="I268" i="5" s="1"/>
  <c r="F269" i="5" a="1"/>
  <c r="F269" i="5" s="1"/>
  <c r="I269" i="5" s="1"/>
  <c r="F294" i="5" a="1"/>
  <c r="F294" i="5" s="1"/>
  <c r="I294" i="5" s="1"/>
  <c r="F308" i="5" a="1"/>
  <c r="F308" i="5" s="1"/>
  <c r="I308" i="5" s="1"/>
  <c r="F321" i="5" a="1"/>
  <c r="F321" i="5" s="1"/>
  <c r="I321" i="5" s="1"/>
  <c r="F322" i="5" a="1"/>
  <c r="F322" i="5" s="1"/>
  <c r="I322" i="5" s="1"/>
  <c r="F334" i="5" a="1"/>
  <c r="F334" i="5" s="1"/>
  <c r="I334" i="5" s="1"/>
  <c r="F336" i="5" a="1"/>
  <c r="F336" i="5" s="1"/>
  <c r="I336" i="5" s="1"/>
  <c r="F344" i="5" a="1"/>
  <c r="F344" i="5" s="1"/>
  <c r="I344" i="5" s="1"/>
  <c r="F358" i="5" a="1"/>
  <c r="F358" i="5" s="1"/>
  <c r="I358" i="5" s="1"/>
  <c r="F359" i="5" a="1"/>
  <c r="F359" i="5" s="1"/>
  <c r="I359" i="5" s="1"/>
  <c r="F360" i="5" a="1"/>
  <c r="F360" i="5" s="1"/>
  <c r="I360" i="5" s="1"/>
  <c r="F95" i="5" a="1"/>
  <c r="F95" i="5" s="1"/>
  <c r="I95" i="5" s="1"/>
  <c r="F99" i="5" a="1"/>
  <c r="F99" i="5" s="1"/>
  <c r="I99" i="5" s="1"/>
  <c r="F184" i="5" a="1"/>
  <c r="F184" i="5" s="1"/>
  <c r="I184" i="5" s="1"/>
  <c r="F192" i="5" a="1"/>
  <c r="F192" i="5" s="1"/>
  <c r="I192" i="5" s="1"/>
  <c r="F193" i="5" a="1"/>
  <c r="F193" i="5" s="1"/>
  <c r="I193" i="5" s="1"/>
  <c r="F194" i="5" a="1"/>
  <c r="F194" i="5" s="1"/>
  <c r="I194" i="5" s="1"/>
  <c r="F195" i="5" a="1"/>
  <c r="F195" i="5" s="1"/>
  <c r="I195" i="5" s="1"/>
  <c r="F208" i="5" a="1"/>
  <c r="F208" i="5" s="1"/>
  <c r="I208" i="5" s="1"/>
  <c r="F230" i="5" a="1"/>
  <c r="F230" i="5" s="1"/>
  <c r="I230" i="5" s="1"/>
  <c r="F270" i="5" a="1"/>
  <c r="F270" i="5" s="1"/>
  <c r="I270" i="5" s="1"/>
  <c r="F292" i="5" a="1"/>
  <c r="F292" i="5" s="1"/>
  <c r="I292" i="5" s="1"/>
  <c r="F293" i="5" a="1"/>
  <c r="F293" i="5" s="1"/>
  <c r="I293" i="5" s="1"/>
  <c r="F312" i="5" a="1"/>
  <c r="F312" i="5" s="1"/>
  <c r="I312" i="5" s="1"/>
  <c r="F313" i="5" a="1"/>
  <c r="F313" i="5" s="1"/>
  <c r="I313" i="5" s="1"/>
  <c r="F314" i="5" a="1"/>
  <c r="F314" i="5" s="1"/>
  <c r="I314" i="5" s="1"/>
  <c r="F331" i="5" a="1"/>
  <c r="F331" i="5" s="1"/>
  <c r="I331" i="5" s="1"/>
  <c r="F333" i="5" a="1"/>
  <c r="F333" i="5" s="1"/>
  <c r="I333" i="5" s="1"/>
  <c r="F363" i="5" a="1"/>
  <c r="F363" i="5" s="1"/>
  <c r="I363" i="5" s="1"/>
  <c r="F172" i="5" a="1"/>
  <c r="F172" i="5" s="1"/>
  <c r="I172" i="5" s="1"/>
  <c r="F173" i="5" a="1"/>
  <c r="F173" i="5" s="1"/>
  <c r="I173" i="5" s="1"/>
  <c r="F174" i="5" a="1"/>
  <c r="F174" i="5" s="1"/>
  <c r="I174" i="5" s="1"/>
  <c r="F175" i="5" a="1"/>
  <c r="F175" i="5" s="1"/>
  <c r="I175" i="5" s="1"/>
  <c r="F176" i="5" a="1"/>
  <c r="F176" i="5" s="1"/>
  <c r="I176" i="5" s="1"/>
  <c r="F177" i="5" a="1"/>
  <c r="F177" i="5" s="1"/>
  <c r="I177" i="5" s="1"/>
  <c r="F178" i="5" a="1"/>
  <c r="F178" i="5" s="1"/>
  <c r="I178" i="5" s="1"/>
  <c r="F180" i="5" a="1"/>
  <c r="F180" i="5" s="1"/>
  <c r="I180" i="5" s="1"/>
  <c r="F181" i="5" a="1"/>
  <c r="F181" i="5" s="1"/>
  <c r="I181" i="5" s="1"/>
  <c r="F182" i="5" a="1"/>
  <c r="F182" i="5" s="1"/>
  <c r="I182" i="5" s="1"/>
  <c r="F183" i="5" a="1"/>
  <c r="F183" i="5" s="1"/>
  <c r="I183" i="5" s="1"/>
  <c r="F185" i="5" a="1"/>
  <c r="F185" i="5" s="1"/>
  <c r="I185" i="5" s="1"/>
  <c r="F187" i="5" a="1"/>
  <c r="F187" i="5" s="1"/>
  <c r="I187" i="5" s="1"/>
  <c r="F188" i="5" a="1"/>
  <c r="F188" i="5" s="1"/>
  <c r="I188" i="5" s="1"/>
  <c r="F190" i="5" a="1"/>
  <c r="F190" i="5" s="1"/>
  <c r="I190" i="5" s="1"/>
  <c r="F191" i="5" a="1"/>
  <c r="F191" i="5" s="1"/>
  <c r="I191" i="5" s="1"/>
  <c r="F196" i="5" a="1"/>
  <c r="F196" i="5" s="1"/>
  <c r="I196" i="5" s="1"/>
  <c r="F197" i="5" a="1"/>
  <c r="F197" i="5" s="1"/>
  <c r="I197" i="5" s="1"/>
  <c r="F198" i="5" a="1"/>
  <c r="F198" i="5" s="1"/>
  <c r="I198" i="5" s="1"/>
  <c r="F199" i="5" a="1"/>
  <c r="F199" i="5" s="1"/>
  <c r="I199" i="5" s="1"/>
  <c r="F200" i="5" a="1"/>
  <c r="F200" i="5" s="1"/>
  <c r="I200" i="5" s="1"/>
  <c r="F201" i="5" a="1"/>
  <c r="F201" i="5" s="1"/>
  <c r="I201" i="5" s="1"/>
  <c r="F202" i="5" a="1"/>
  <c r="F202" i="5" s="1"/>
  <c r="I202" i="5" s="1"/>
  <c r="F203" i="5" a="1"/>
  <c r="F203" i="5" s="1"/>
  <c r="I203" i="5" s="1"/>
  <c r="F204" i="5" a="1"/>
  <c r="F204" i="5" s="1"/>
  <c r="I204" i="5" s="1"/>
  <c r="F205" i="5" a="1"/>
  <c r="F205" i="5" s="1"/>
  <c r="I205" i="5" s="1"/>
  <c r="F207" i="5" a="1"/>
  <c r="F207" i="5" s="1"/>
  <c r="I207" i="5" s="1"/>
  <c r="F209" i="5" a="1"/>
  <c r="F209" i="5" s="1"/>
  <c r="I209" i="5" s="1"/>
  <c r="F210" i="5" a="1"/>
  <c r="F210" i="5" s="1"/>
  <c r="I210" i="5" s="1"/>
  <c r="F211" i="5" a="1"/>
  <c r="F211" i="5" s="1"/>
  <c r="I211" i="5" s="1"/>
  <c r="F212" i="5" a="1"/>
  <c r="F212" i="5" s="1"/>
  <c r="I212" i="5" s="1"/>
  <c r="F213" i="5" a="1"/>
  <c r="F213" i="5" s="1"/>
  <c r="I213" i="5" s="1"/>
  <c r="F214" i="5" a="1"/>
  <c r="F214" i="5" s="1"/>
  <c r="I214" i="5" s="1"/>
  <c r="F215" i="5" a="1"/>
  <c r="F215" i="5" s="1"/>
  <c r="I215" i="5" s="1"/>
  <c r="F216" i="5" a="1"/>
  <c r="F216" i="5" s="1"/>
  <c r="I216" i="5" s="1"/>
  <c r="F217" i="5" a="1"/>
  <c r="F217" i="5" s="1"/>
  <c r="I217" i="5" s="1"/>
  <c r="F129" i="5" a="1"/>
  <c r="F129" i="5" s="1"/>
  <c r="I129" i="5" s="1"/>
  <c r="F130" i="5" a="1"/>
  <c r="F130" i="5" s="1"/>
  <c r="I130" i="5" s="1"/>
  <c r="F131" i="5" a="1"/>
  <c r="F131" i="5" s="1"/>
  <c r="I131" i="5" s="1"/>
  <c r="F132" i="5" a="1"/>
  <c r="F132" i="5" s="1"/>
  <c r="I132" i="5" s="1"/>
  <c r="F133" i="5" a="1"/>
  <c r="F133" i="5" s="1"/>
  <c r="I133" i="5" s="1"/>
  <c r="F135" i="5" a="1"/>
  <c r="F135" i="5" s="1"/>
  <c r="I135" i="5" s="1"/>
  <c r="F137" i="5" a="1"/>
  <c r="F137" i="5" s="1"/>
  <c r="I137" i="5" s="1"/>
  <c r="F138" i="5" a="1"/>
  <c r="F138" i="5" s="1"/>
  <c r="I138" i="5" s="1"/>
  <c r="F139" i="5" a="1"/>
  <c r="F139" i="5" s="1"/>
  <c r="I139" i="5" s="1"/>
  <c r="F140" i="5" a="1"/>
  <c r="F140" i="5" s="1"/>
  <c r="I140" i="5" s="1"/>
  <c r="F141" i="5" a="1"/>
  <c r="F141" i="5" s="1"/>
  <c r="I141" i="5" s="1"/>
  <c r="F142" i="5" a="1"/>
  <c r="F142" i="5" s="1"/>
  <c r="I142" i="5" s="1"/>
  <c r="F143" i="5" a="1"/>
  <c r="F143" i="5" s="1"/>
  <c r="I143" i="5" s="1"/>
  <c r="F144" i="5" a="1"/>
  <c r="F144" i="5" s="1"/>
  <c r="I144" i="5" s="1"/>
  <c r="F145" i="5" a="1"/>
  <c r="F145" i="5" s="1"/>
  <c r="I145" i="5" s="1"/>
  <c r="F146" i="5" a="1"/>
  <c r="F146" i="5" s="1"/>
  <c r="I146" i="5" s="1"/>
  <c r="F147" i="5" a="1"/>
  <c r="F147" i="5" s="1"/>
  <c r="I147" i="5" s="1"/>
  <c r="F148" i="5" a="1"/>
  <c r="F148" i="5" s="1"/>
  <c r="I148" i="5" s="1"/>
  <c r="F149" i="5" a="1"/>
  <c r="F149" i="5" s="1"/>
  <c r="I149" i="5" s="1"/>
  <c r="F150" i="5" a="1"/>
  <c r="F150" i="5" s="1"/>
  <c r="I150" i="5" s="1"/>
  <c r="F151" i="5" a="1"/>
  <c r="F151" i="5" s="1"/>
  <c r="I151" i="5" s="1"/>
  <c r="F152" i="5" a="1"/>
  <c r="F152" i="5" s="1"/>
  <c r="I152" i="5" s="1"/>
  <c r="F153" i="5" a="1"/>
  <c r="F153" i="5" s="1"/>
  <c r="I153" i="5" s="1"/>
  <c r="F154" i="5" a="1"/>
  <c r="F154" i="5" s="1"/>
  <c r="I154" i="5" s="1"/>
  <c r="F155" i="5" a="1"/>
  <c r="F155" i="5" s="1"/>
  <c r="I155" i="5" s="1"/>
  <c r="F156" i="5" a="1"/>
  <c r="F156" i="5" s="1"/>
  <c r="I156" i="5" s="1"/>
  <c r="F157" i="5" a="1"/>
  <c r="F157" i="5" s="1"/>
  <c r="I157" i="5" s="1"/>
  <c r="F158" i="5" a="1"/>
  <c r="F158" i="5" s="1"/>
  <c r="I158" i="5" s="1"/>
  <c r="F159" i="5" a="1"/>
  <c r="F159" i="5" s="1"/>
  <c r="I159" i="5" s="1"/>
  <c r="F160" i="5" a="1"/>
  <c r="F160" i="5" s="1"/>
  <c r="I160" i="5" s="1"/>
  <c r="F161" i="5" a="1"/>
  <c r="F161" i="5" s="1"/>
  <c r="I161" i="5" s="1"/>
  <c r="F162" i="5" a="1"/>
  <c r="F162" i="5" s="1"/>
  <c r="I162" i="5" s="1"/>
  <c r="F163" i="5" a="1"/>
  <c r="F163" i="5" s="1"/>
  <c r="I163" i="5" s="1"/>
  <c r="F164" i="5" a="1"/>
  <c r="F164" i="5" s="1"/>
  <c r="I164" i="5" s="1"/>
  <c r="F165" i="5" a="1"/>
  <c r="F165" i="5" s="1"/>
  <c r="I165" i="5" s="1"/>
  <c r="F166" i="5" a="1"/>
  <c r="F166" i="5" s="1"/>
  <c r="I166" i="5" s="1"/>
  <c r="F167" i="5" a="1"/>
  <c r="F167" i="5" s="1"/>
  <c r="I167" i="5" s="1"/>
  <c r="F168" i="5" a="1"/>
  <c r="F168" i="5" s="1"/>
  <c r="I168" i="5" s="1"/>
  <c r="F169" i="5" a="1"/>
  <c r="F169" i="5" s="1"/>
  <c r="I169" i="5" s="1"/>
  <c r="F170" i="5" a="1"/>
  <c r="F170" i="5" s="1"/>
  <c r="I170" i="5" s="1"/>
  <c r="F171" i="5" a="1"/>
  <c r="F171" i="5" s="1"/>
  <c r="I171" i="5" s="1"/>
  <c r="H123" i="5"/>
  <c r="F123" i="5" a="1"/>
  <c r="F123" i="5" s="1"/>
  <c r="I123" i="5" s="1"/>
  <c r="H122" i="5"/>
  <c r="F122" i="5" a="1"/>
  <c r="F122" i="5" s="1"/>
  <c r="I122" i="5" s="1"/>
  <c r="H121" i="5"/>
  <c r="F121" i="5" a="1"/>
  <c r="F121" i="5" s="1"/>
  <c r="I121" i="5" s="1"/>
  <c r="H119" i="5"/>
  <c r="F119" i="5" a="1"/>
  <c r="F119" i="5" s="1"/>
  <c r="I119" i="5" s="1"/>
  <c r="H118" i="5"/>
  <c r="F118" i="5" a="1"/>
  <c r="F118" i="5" s="1"/>
  <c r="I118" i="5" s="1"/>
  <c r="F112" i="5" a="1"/>
  <c r="F112" i="5" s="1"/>
  <c r="I112" i="5" s="1"/>
  <c r="H111" i="5"/>
  <c r="H112" i="5"/>
  <c r="F111" i="5" a="1"/>
  <c r="F111" i="5" s="1"/>
  <c r="I111" i="5" s="1"/>
  <c r="H109" i="5"/>
  <c r="F109" i="5" a="1"/>
  <c r="F109" i="5" s="1"/>
  <c r="I109" i="5" s="1"/>
  <c r="H105" i="5"/>
  <c r="F105" i="5" a="1"/>
  <c r="F105" i="5" s="1"/>
  <c r="I105" i="5" s="1"/>
  <c r="H87" i="5"/>
  <c r="F87" i="5" a="1"/>
  <c r="F87" i="5" s="1"/>
  <c r="I87" i="5" s="1"/>
  <c r="H84" i="5"/>
  <c r="F84" i="5" a="1"/>
  <c r="F84" i="5" s="1"/>
  <c r="I84" i="5" s="1"/>
  <c r="H81" i="5"/>
  <c r="F81" i="5" a="1"/>
  <c r="F81" i="5" s="1"/>
  <c r="I81" i="5" s="1"/>
  <c r="H80" i="5"/>
  <c r="F80" i="5" a="1"/>
  <c r="F80" i="5" s="1"/>
  <c r="I80" i="5" s="1"/>
  <c r="H79" i="5"/>
  <c r="F79" i="5" a="1"/>
  <c r="F79" i="5" s="1"/>
  <c r="I79" i="5" s="1"/>
  <c r="H77" i="5"/>
  <c r="F77" i="5" a="1"/>
  <c r="F77" i="5" s="1"/>
  <c r="I77" i="5" s="1"/>
  <c r="H75" i="5"/>
  <c r="F75" i="5" a="1"/>
  <c r="F75" i="5" s="1"/>
  <c r="I75" i="5" s="1"/>
  <c r="H50" i="5"/>
  <c r="F50" i="5" a="1"/>
  <c r="F50" i="5" s="1"/>
  <c r="I50" i="5" s="1"/>
  <c r="H48" i="5"/>
  <c r="F48" i="5" a="1"/>
  <c r="F48" i="5" s="1"/>
  <c r="I48" i="5" s="1"/>
  <c r="H46" i="5"/>
  <c r="F46" i="5" a="1"/>
  <c r="F46" i="5" s="1"/>
  <c r="I46" i="5" s="1"/>
  <c r="H39" i="5"/>
  <c r="F39" i="5" a="1"/>
  <c r="F39" i="5" s="1"/>
  <c r="I39" i="5" s="1"/>
  <c r="H38" i="5"/>
  <c r="F38" i="5" a="1"/>
  <c r="F38" i="5" s="1"/>
  <c r="I38" i="5" s="1"/>
  <c r="H37" i="5"/>
  <c r="F37" i="5" a="1"/>
  <c r="F37" i="5" s="1"/>
  <c r="I37" i="5" s="1"/>
  <c r="H35" i="5"/>
  <c r="F35" i="5" a="1"/>
  <c r="F35" i="5" s="1"/>
  <c r="I35" i="5" s="1"/>
  <c r="H26" i="5"/>
  <c r="F26" i="5" a="1"/>
  <c r="F26" i="5" s="1"/>
  <c r="I26" i="5" s="1"/>
  <c r="H25" i="5"/>
  <c r="F25" i="5" a="1"/>
  <c r="F25" i="5" s="1"/>
  <c r="I25" i="5" s="1"/>
  <c r="H22" i="5"/>
  <c r="F22" i="5" a="1"/>
  <c r="F22" i="5" s="1"/>
  <c r="I22" i="5" s="1"/>
  <c r="F19" i="5" a="1"/>
  <c r="F19" i="5" s="1"/>
  <c r="I19" i="5" s="1"/>
  <c r="F3" i="5" a="1"/>
  <c r="F3" i="5" s="1"/>
  <c r="I3" i="5" s="1"/>
  <c r="F4" i="5" a="1"/>
  <c r="F4" i="5" s="1"/>
  <c r="I4" i="5" s="1"/>
  <c r="F5" i="5" a="1"/>
  <c r="F5" i="5" s="1"/>
  <c r="I5" i="5" s="1"/>
  <c r="F6" i="5" a="1"/>
  <c r="F6" i="5" s="1"/>
  <c r="I6" i="5" s="1"/>
  <c r="F7" i="5" a="1"/>
  <c r="F7" i="5" s="1"/>
  <c r="I7" i="5" s="1"/>
  <c r="F8" i="5" a="1"/>
  <c r="F8" i="5" s="1"/>
  <c r="I8" i="5" s="1"/>
  <c r="F9" i="5" a="1"/>
  <c r="F9" i="5" s="1"/>
  <c r="I9" i="5" s="1"/>
  <c r="F10" i="5" a="1"/>
  <c r="F10" i="5" s="1"/>
  <c r="I10" i="5" s="1"/>
  <c r="F11" i="5" a="1"/>
  <c r="F11" i="5" s="1"/>
  <c r="I11" i="5" s="1"/>
  <c r="F15" i="5" a="1"/>
  <c r="F15" i="5" s="1"/>
  <c r="I15" i="5" s="1"/>
  <c r="H829" i="5"/>
  <c r="H15" i="5"/>
  <c r="H11" i="5"/>
  <c r="H10" i="5"/>
  <c r="H9" i="5"/>
  <c r="H8" i="5"/>
  <c r="H7" i="5"/>
  <c r="H6" i="5"/>
  <c r="H5" i="5"/>
  <c r="H4" i="5"/>
  <c r="H3" i="5"/>
  <c r="H19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5" i="5"/>
  <c r="H133" i="5"/>
  <c r="H132" i="5"/>
  <c r="H131" i="5"/>
  <c r="H130" i="5"/>
  <c r="H129" i="5"/>
  <c r="H217" i="5"/>
  <c r="H216" i="5"/>
  <c r="H215" i="5"/>
  <c r="H214" i="5"/>
  <c r="H213" i="5"/>
  <c r="H212" i="5"/>
  <c r="H211" i="5"/>
  <c r="H210" i="5"/>
  <c r="H209" i="5"/>
  <c r="H207" i="5"/>
  <c r="H205" i="5"/>
  <c r="H204" i="5"/>
  <c r="H203" i="5"/>
  <c r="H202" i="5"/>
  <c r="H201" i="5"/>
  <c r="H200" i="5"/>
  <c r="H199" i="5"/>
  <c r="H198" i="5"/>
  <c r="H197" i="5"/>
  <c r="H196" i="5"/>
  <c r="H191" i="5"/>
  <c r="H190" i="5"/>
  <c r="H188" i="5"/>
  <c r="H187" i="5"/>
  <c r="H185" i="5"/>
  <c r="H183" i="5"/>
  <c r="H182" i="5"/>
  <c r="H181" i="5"/>
  <c r="H180" i="5"/>
  <c r="H178" i="5"/>
  <c r="H177" i="5"/>
  <c r="H176" i="5"/>
  <c r="H175" i="5"/>
  <c r="H174" i="5"/>
  <c r="H173" i="5"/>
  <c r="H172" i="5"/>
  <c r="H363" i="5"/>
  <c r="H333" i="5"/>
  <c r="H331" i="5"/>
  <c r="H314" i="5"/>
  <c r="H313" i="5"/>
  <c r="H312" i="5"/>
  <c r="H293" i="5"/>
  <c r="H292" i="5"/>
  <c r="H270" i="5"/>
  <c r="H230" i="5"/>
  <c r="H208" i="5"/>
  <c r="H195" i="5"/>
  <c r="H194" i="5"/>
  <c r="H193" i="5"/>
  <c r="H192" i="5"/>
  <c r="H184" i="5"/>
  <c r="H99" i="5"/>
  <c r="H95" i="5"/>
  <c r="H360" i="5"/>
  <c r="H359" i="5"/>
  <c r="H358" i="5"/>
  <c r="H344" i="5"/>
  <c r="H336" i="5"/>
  <c r="H334" i="5"/>
  <c r="H322" i="5"/>
  <c r="H321" i="5"/>
  <c r="H308" i="5"/>
  <c r="H294" i="5"/>
  <c r="H269" i="5"/>
  <c r="H268" i="5"/>
  <c r="H260" i="5"/>
  <c r="H259" i="5"/>
  <c r="H229" i="5"/>
  <c r="H305" i="5"/>
  <c r="H297" i="5"/>
  <c r="H295" i="5"/>
  <c r="H280" i="5"/>
  <c r="H279" i="5"/>
  <c r="H258" i="5"/>
  <c r="H206" i="5"/>
  <c r="H189" i="5"/>
  <c r="H186" i="5"/>
  <c r="H329" i="5"/>
  <c r="H320" i="5"/>
  <c r="H311" i="5"/>
  <c r="H309" i="5"/>
  <c r="H296" i="5"/>
  <c r="H290" i="5"/>
  <c r="H282" i="5"/>
  <c r="H275" i="5"/>
  <c r="H262" i="5"/>
  <c r="H251" i="5"/>
  <c r="H247" i="5"/>
  <c r="H348" i="5"/>
  <c r="H339" i="5"/>
  <c r="H335" i="5"/>
  <c r="H323" i="5"/>
  <c r="H319" i="5"/>
  <c r="H317" i="5"/>
  <c r="H284" i="5"/>
  <c r="H278" i="5"/>
  <c r="H273" i="5"/>
  <c r="H267" i="5"/>
  <c r="H266" i="5"/>
  <c r="H265" i="5"/>
  <c r="H264" i="5"/>
  <c r="H263" i="5"/>
  <c r="H261" i="5"/>
  <c r="H257" i="5"/>
  <c r="H252" i="5"/>
  <c r="H244" i="5"/>
  <c r="H243" i="5"/>
  <c r="H242" i="5"/>
  <c r="H241" i="5"/>
  <c r="H233" i="5"/>
  <c r="H231" i="5"/>
  <c r="H228" i="5"/>
  <c r="H227" i="5"/>
  <c r="H226" i="5"/>
  <c r="H219" i="5"/>
  <c r="H218" i="5"/>
  <c r="H346" i="5"/>
  <c r="H345" i="5"/>
  <c r="H316" i="5"/>
  <c r="H315" i="5"/>
  <c r="H306" i="5"/>
  <c r="H303" i="5"/>
  <c r="H302" i="5"/>
  <c r="H301" i="5"/>
  <c r="H300" i="5"/>
  <c r="H299" i="5"/>
  <c r="H298" i="5"/>
  <c r="H291" i="5"/>
  <c r="H288" i="5"/>
  <c r="H287" i="5"/>
  <c r="H286" i="5"/>
  <c r="H285" i="5"/>
  <c r="H277" i="5"/>
  <c r="H276" i="5"/>
  <c r="H256" i="5"/>
  <c r="H255" i="5"/>
  <c r="H254" i="5"/>
  <c r="H253" i="5"/>
  <c r="H250" i="5"/>
  <c r="H249" i="5"/>
  <c r="H248" i="5"/>
  <c r="H246" i="5"/>
  <c r="H245" i="5"/>
  <c r="H240" i="5"/>
  <c r="H238" i="5"/>
  <c r="H239" i="5"/>
  <c r="H237" i="5"/>
  <c r="H236" i="5"/>
  <c r="H235" i="5"/>
  <c r="H225" i="5"/>
  <c r="H224" i="5"/>
  <c r="H223" i="5"/>
  <c r="H222" i="5"/>
  <c r="H221" i="5"/>
  <c r="H220" i="5"/>
  <c r="H304" i="5"/>
  <c r="H283" i="5"/>
  <c r="H234" i="5"/>
  <c r="H232" i="5"/>
  <c r="H433" i="5"/>
  <c r="H400" i="5"/>
  <c r="H381" i="5"/>
  <c r="H380" i="5"/>
  <c r="H372" i="5"/>
  <c r="H361" i="5"/>
  <c r="H332" i="5"/>
  <c r="H462" i="5"/>
  <c r="H404" i="5"/>
  <c r="H403" i="5"/>
  <c r="H398" i="5"/>
  <c r="H397" i="5"/>
  <c r="H382" i="5"/>
  <c r="H375" i="5"/>
  <c r="H374" i="5"/>
  <c r="H362" i="5"/>
  <c r="H351" i="5"/>
  <c r="H350" i="5"/>
  <c r="H340" i="5"/>
  <c r="H330" i="5"/>
  <c r="H328" i="5"/>
  <c r="H327" i="5"/>
  <c r="H326" i="5"/>
  <c r="H318" i="5"/>
  <c r="H310" i="5"/>
  <c r="H415" i="5"/>
  <c r="H482" i="5"/>
  <c r="H479" i="5"/>
  <c r="H478" i="5"/>
  <c r="H474" i="5"/>
  <c r="H460" i="5"/>
  <c r="H440" i="5"/>
  <c r="H436" i="5"/>
  <c r="H425" i="5"/>
  <c r="H423" i="5"/>
  <c r="H388" i="5"/>
  <c r="H387" i="5"/>
  <c r="H386" i="5"/>
  <c r="H371" i="5"/>
  <c r="H368" i="5"/>
  <c r="H483" i="5"/>
  <c r="H365" i="5"/>
  <c r="H466" i="5"/>
  <c r="H179" i="5"/>
  <c r="H432" i="5"/>
  <c r="H396" i="5"/>
  <c r="H342" i="5"/>
  <c r="H427" i="5"/>
  <c r="H426" i="5"/>
  <c r="H376" i="5"/>
  <c r="H341" i="5"/>
  <c r="H430" i="5"/>
  <c r="H385" i="5"/>
  <c r="H369" i="5"/>
  <c r="H467" i="5"/>
  <c r="H465" i="5"/>
  <c r="H464" i="5"/>
  <c r="H463" i="5"/>
  <c r="H461" i="5"/>
  <c r="H441" i="5"/>
  <c r="H435" i="5"/>
  <c r="H434" i="5"/>
  <c r="H431" i="5"/>
  <c r="H429" i="5"/>
  <c r="H428" i="5"/>
  <c r="H424" i="5"/>
  <c r="H421" i="5"/>
  <c r="H420" i="5"/>
  <c r="H419" i="5"/>
  <c r="H418" i="5"/>
  <c r="H417" i="5"/>
  <c r="H416" i="5"/>
  <c r="H395" i="5"/>
  <c r="H393" i="5"/>
  <c r="H392" i="5"/>
  <c r="H384" i="5"/>
  <c r="H383" i="5"/>
  <c r="H377" i="5"/>
  <c r="H370" i="5"/>
  <c r="H364" i="5"/>
  <c r="H357" i="5"/>
  <c r="H356" i="5"/>
  <c r="H354" i="5"/>
  <c r="H353" i="5"/>
  <c r="H352" i="5"/>
  <c r="H349" i="5"/>
  <c r="H347" i="5"/>
  <c r="H343" i="5"/>
  <c r="H338" i="5"/>
  <c r="H337" i="5"/>
  <c r="H325" i="5"/>
  <c r="H324" i="5"/>
  <c r="H307" i="5"/>
  <c r="H274" i="5"/>
  <c r="H469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39" i="5"/>
  <c r="H438" i="5"/>
  <c r="H437" i="5"/>
  <c r="H422" i="5"/>
  <c r="H409" i="5"/>
  <c r="H408" i="5"/>
  <c r="H407" i="5"/>
  <c r="H406" i="5"/>
  <c r="H405" i="5"/>
  <c r="H402" i="5"/>
  <c r="H401" i="5"/>
  <c r="H394" i="5"/>
  <c r="H391" i="5"/>
  <c r="H390" i="5"/>
  <c r="H389" i="5"/>
  <c r="H379" i="5"/>
  <c r="H378" i="5"/>
  <c r="H373" i="5"/>
  <c r="H367" i="5"/>
  <c r="H366" i="5"/>
  <c r="H289" i="5"/>
  <c r="H281" i="5"/>
  <c r="H272" i="5"/>
  <c r="H271" i="5"/>
  <c r="H136" i="5"/>
  <c r="H134" i="5"/>
  <c r="H513" i="5"/>
  <c r="I513" i="5"/>
  <c r="H512" i="5"/>
  <c r="I512" i="5"/>
  <c r="H511" i="5"/>
  <c r="I511" i="5"/>
  <c r="H510" i="5"/>
  <c r="I510" i="5"/>
  <c r="H509" i="5"/>
  <c r="I509" i="5"/>
  <c r="H508" i="5"/>
  <c r="I508" i="5"/>
  <c r="H506" i="5"/>
  <c r="I506" i="5"/>
  <c r="H505" i="5"/>
  <c r="I505" i="5"/>
  <c r="H504" i="5"/>
  <c r="I504" i="5"/>
  <c r="H503" i="5"/>
  <c r="I503" i="5"/>
  <c r="H502" i="5"/>
  <c r="I502" i="5"/>
  <c r="H501" i="5"/>
  <c r="I501" i="5"/>
  <c r="H500" i="5"/>
  <c r="I500" i="5"/>
  <c r="H499" i="5"/>
  <c r="I499" i="5"/>
  <c r="H498" i="5"/>
  <c r="I498" i="5"/>
  <c r="H497" i="5"/>
  <c r="I497" i="5"/>
  <c r="H496" i="5"/>
  <c r="I496" i="5"/>
  <c r="H495" i="5"/>
  <c r="I495" i="5"/>
  <c r="H494" i="5"/>
  <c r="I494" i="5"/>
  <c r="H493" i="5"/>
  <c r="I493" i="5"/>
  <c r="H492" i="5"/>
  <c r="I492" i="5"/>
  <c r="H491" i="5"/>
  <c r="I491" i="5"/>
  <c r="H490" i="5"/>
  <c r="I490" i="5"/>
  <c r="H487" i="5"/>
  <c r="I487" i="5"/>
  <c r="H486" i="5"/>
  <c r="I486" i="5"/>
  <c r="H485" i="5"/>
  <c r="I485" i="5"/>
  <c r="H484" i="5"/>
  <c r="I484" i="5"/>
  <c r="H481" i="5"/>
  <c r="I481" i="5"/>
  <c r="H480" i="5"/>
  <c r="I480" i="5"/>
  <c r="H477" i="5"/>
  <c r="I477" i="5"/>
  <c r="H476" i="5"/>
  <c r="I476" i="5"/>
  <c r="H475" i="5"/>
  <c r="I475" i="5"/>
  <c r="H473" i="5"/>
  <c r="I473" i="5"/>
  <c r="H472" i="5"/>
  <c r="I472" i="5"/>
  <c r="H471" i="5"/>
  <c r="I471" i="5"/>
  <c r="H470" i="5"/>
  <c r="I470" i="5"/>
  <c r="H442" i="5"/>
  <c r="I442" i="5"/>
  <c r="H566" i="5"/>
  <c r="I566" i="5"/>
  <c r="H565" i="5"/>
  <c r="I565" i="5"/>
  <c r="H561" i="5"/>
  <c r="I561" i="5"/>
  <c r="H560" i="5"/>
  <c r="I560" i="5"/>
  <c r="H559" i="5"/>
  <c r="I559" i="5"/>
  <c r="H549" i="5"/>
  <c r="I549" i="5"/>
  <c r="H545" i="5"/>
  <c r="I545" i="5"/>
  <c r="H543" i="5"/>
  <c r="I543" i="5"/>
  <c r="H542" i="5"/>
  <c r="I542" i="5"/>
  <c r="H541" i="5"/>
  <c r="I541" i="5"/>
  <c r="H539" i="5"/>
  <c r="I539" i="5"/>
  <c r="H538" i="5"/>
  <c r="I538" i="5"/>
  <c r="H536" i="5"/>
  <c r="I536" i="5"/>
  <c r="H535" i="5"/>
  <c r="I535" i="5"/>
  <c r="H534" i="5"/>
  <c r="I534" i="5"/>
  <c r="H533" i="5"/>
  <c r="I533" i="5"/>
  <c r="H532" i="5"/>
  <c r="I532" i="5"/>
  <c r="H531" i="5"/>
  <c r="I531" i="5"/>
  <c r="H529" i="5"/>
  <c r="I529" i="5"/>
  <c r="H528" i="5"/>
  <c r="I528" i="5"/>
  <c r="H525" i="5"/>
  <c r="I525" i="5"/>
  <c r="H524" i="5"/>
  <c r="I524" i="5"/>
  <c r="H523" i="5"/>
  <c r="I523" i="5"/>
  <c r="H522" i="5"/>
  <c r="I522" i="5"/>
  <c r="H521" i="5"/>
  <c r="I521" i="5"/>
  <c r="H520" i="5"/>
  <c r="I520" i="5"/>
  <c r="H517" i="5"/>
  <c r="I517" i="5"/>
  <c r="H516" i="5"/>
  <c r="I516" i="5"/>
  <c r="H515" i="5"/>
  <c r="I515" i="5"/>
  <c r="H514" i="5"/>
  <c r="I514" i="5"/>
  <c r="H574" i="5"/>
  <c r="I574" i="5"/>
  <c r="H573" i="5"/>
  <c r="I573" i="5"/>
  <c r="H572" i="5"/>
  <c r="I572" i="5"/>
  <c r="H570" i="5"/>
  <c r="I570" i="5"/>
  <c r="H568" i="5"/>
  <c r="I568" i="5"/>
  <c r="H567" i="5"/>
  <c r="I567" i="5"/>
  <c r="H564" i="5"/>
  <c r="I564" i="5"/>
  <c r="H563" i="5"/>
  <c r="I563" i="5"/>
  <c r="H562" i="5"/>
  <c r="I562" i="5"/>
  <c r="H558" i="5"/>
  <c r="I558" i="5"/>
  <c r="H557" i="5"/>
  <c r="I557" i="5"/>
  <c r="H556" i="5"/>
  <c r="I556" i="5"/>
  <c r="H555" i="5"/>
  <c r="I555" i="5"/>
  <c r="H554" i="5"/>
  <c r="I554" i="5"/>
  <c r="H553" i="5"/>
  <c r="I553" i="5"/>
  <c r="H552" i="5"/>
  <c r="I552" i="5"/>
  <c r="H551" i="5"/>
  <c r="I551" i="5"/>
  <c r="H550" i="5"/>
  <c r="I550" i="5"/>
  <c r="H548" i="5"/>
  <c r="I548" i="5"/>
  <c r="H547" i="5"/>
  <c r="I547" i="5"/>
  <c r="H546" i="5"/>
  <c r="I546" i="5"/>
  <c r="H544" i="5"/>
  <c r="I544" i="5"/>
  <c r="H540" i="5"/>
  <c r="I540" i="5"/>
  <c r="H537" i="5"/>
  <c r="I537" i="5"/>
  <c r="H526" i="5"/>
  <c r="I526" i="5"/>
  <c r="H519" i="5"/>
  <c r="I519" i="5"/>
  <c r="H518" i="5"/>
  <c r="I518" i="5"/>
  <c r="H507" i="5"/>
  <c r="I507" i="5"/>
  <c r="H444" i="5"/>
  <c r="I444" i="5"/>
  <c r="H443" i="5"/>
  <c r="I443" i="5"/>
  <c r="H414" i="5"/>
  <c r="I414" i="5"/>
  <c r="H412" i="5"/>
  <c r="I412" i="5"/>
  <c r="H411" i="5"/>
  <c r="I411" i="5"/>
  <c r="H410" i="5"/>
  <c r="I410" i="5"/>
  <c r="H569" i="5"/>
  <c r="I569" i="5"/>
  <c r="H445" i="5"/>
  <c r="I445" i="5"/>
  <c r="H643" i="5"/>
  <c r="I643" i="5"/>
  <c r="H642" i="5"/>
  <c r="I642" i="5"/>
  <c r="H641" i="5"/>
  <c r="I641" i="5"/>
  <c r="H623" i="5"/>
  <c r="I623" i="5"/>
  <c r="H620" i="5"/>
  <c r="I620" i="5"/>
  <c r="H618" i="5"/>
  <c r="I618" i="5"/>
  <c r="H602" i="5"/>
  <c r="I602" i="5"/>
  <c r="H601" i="5"/>
  <c r="I601" i="5"/>
  <c r="H576" i="5"/>
  <c r="I576" i="5"/>
  <c r="H577" i="5"/>
  <c r="I577" i="5"/>
  <c r="H578" i="5"/>
  <c r="I578" i="5"/>
  <c r="H579" i="5"/>
  <c r="I579" i="5"/>
  <c r="H580" i="5"/>
  <c r="I580" i="5"/>
  <c r="H581" i="5"/>
  <c r="I581" i="5"/>
  <c r="H582" i="5"/>
  <c r="I582" i="5"/>
  <c r="H583" i="5"/>
  <c r="I583" i="5"/>
  <c r="H595" i="5"/>
  <c r="I595" i="5"/>
  <c r="H596" i="5"/>
  <c r="I596" i="5"/>
  <c r="H597" i="5"/>
  <c r="I597" i="5"/>
  <c r="H598" i="5"/>
  <c r="I598" i="5"/>
  <c r="H599" i="5"/>
  <c r="I599" i="5"/>
  <c r="H600" i="5"/>
  <c r="I600" i="5"/>
  <c r="H603" i="5"/>
  <c r="I603" i="5"/>
  <c r="H604" i="5"/>
  <c r="I604" i="5"/>
  <c r="H605" i="5"/>
  <c r="I605" i="5"/>
  <c r="H607" i="5"/>
  <c r="I607" i="5"/>
  <c r="H608" i="5"/>
  <c r="I608" i="5"/>
  <c r="H609" i="5"/>
  <c r="I609" i="5"/>
  <c r="H610" i="5"/>
  <c r="I610" i="5"/>
  <c r="H611" i="5"/>
  <c r="I611" i="5"/>
  <c r="H681" i="5"/>
  <c r="I681" i="5"/>
  <c r="H680" i="5"/>
  <c r="I680" i="5"/>
  <c r="H677" i="5"/>
  <c r="I677" i="5"/>
  <c r="H667" i="5"/>
  <c r="I667" i="5"/>
  <c r="H660" i="5"/>
  <c r="I660" i="5"/>
  <c r="H658" i="5"/>
  <c r="I658" i="5"/>
  <c r="H657" i="5"/>
  <c r="I657" i="5"/>
  <c r="H656" i="5"/>
  <c r="I656" i="5"/>
  <c r="H654" i="5"/>
  <c r="I654" i="5"/>
  <c r="H653" i="5"/>
  <c r="I653" i="5"/>
  <c r="H652" i="5"/>
  <c r="I652" i="5"/>
  <c r="H651" i="5"/>
  <c r="I651" i="5"/>
  <c r="H650" i="5"/>
  <c r="I650" i="5"/>
  <c r="H649" i="5"/>
  <c r="I649" i="5"/>
  <c r="H647" i="5"/>
  <c r="I647" i="5"/>
  <c r="H646" i="5"/>
  <c r="I646" i="5"/>
  <c r="H645" i="5"/>
  <c r="I645" i="5"/>
  <c r="H644" i="5"/>
  <c r="I644" i="5"/>
  <c r="H637" i="5"/>
  <c r="I637" i="5"/>
  <c r="H635" i="5"/>
  <c r="I635" i="5"/>
  <c r="H634" i="5"/>
  <c r="I634" i="5"/>
  <c r="H633" i="5"/>
  <c r="I633" i="5"/>
  <c r="H632" i="5"/>
  <c r="I632" i="5"/>
  <c r="H631" i="5"/>
  <c r="I631" i="5"/>
  <c r="H630" i="5"/>
  <c r="I630" i="5"/>
  <c r="H629" i="5"/>
  <c r="I629" i="5"/>
  <c r="H628" i="5"/>
  <c r="I628" i="5"/>
  <c r="H626" i="5"/>
  <c r="I626" i="5"/>
  <c r="H625" i="5"/>
  <c r="I625" i="5"/>
  <c r="H624" i="5"/>
  <c r="I624" i="5"/>
  <c r="H622" i="5"/>
  <c r="I622" i="5"/>
  <c r="H621" i="5"/>
  <c r="I621" i="5"/>
  <c r="H619" i="5"/>
  <c r="I619" i="5"/>
  <c r="H617" i="5"/>
  <c r="I617" i="5"/>
  <c r="H616" i="5"/>
  <c r="I616" i="5"/>
  <c r="H614" i="5"/>
  <c r="I614" i="5"/>
  <c r="H613" i="5"/>
  <c r="I613" i="5"/>
  <c r="H612" i="5"/>
  <c r="I612" i="5"/>
  <c r="H830" i="5"/>
  <c r="I830" i="5"/>
  <c r="H831" i="5"/>
  <c r="I831" i="5"/>
  <c r="H832" i="5"/>
  <c r="I832" i="5"/>
  <c r="H833" i="5"/>
  <c r="I833" i="5"/>
  <c r="H834" i="5"/>
  <c r="I834" i="5"/>
  <c r="H835" i="5"/>
  <c r="I835" i="5"/>
  <c r="H836" i="5"/>
  <c r="I836" i="5"/>
  <c r="H837" i="5"/>
  <c r="I837" i="5"/>
  <c r="H838" i="5"/>
  <c r="I838" i="5"/>
  <c r="H839" i="5"/>
  <c r="I839" i="5"/>
  <c r="H840" i="5"/>
  <c r="I840" i="5"/>
  <c r="H841" i="5"/>
  <c r="I841" i="5"/>
  <c r="H842" i="5"/>
  <c r="I842" i="5"/>
  <c r="H843" i="5"/>
  <c r="I843" i="5"/>
  <c r="H844" i="5"/>
  <c r="I844" i="5"/>
  <c r="H845" i="5"/>
  <c r="I845" i="5"/>
  <c r="H846" i="5"/>
  <c r="I846" i="5"/>
  <c r="H847" i="5"/>
  <c r="I847" i="5"/>
  <c r="H848" i="5"/>
  <c r="I848" i="5"/>
  <c r="H849" i="5"/>
  <c r="I849" i="5"/>
  <c r="H850" i="5"/>
  <c r="I850" i="5"/>
  <c r="H851" i="5"/>
  <c r="I851" i="5"/>
  <c r="H852" i="5"/>
  <c r="I852" i="5"/>
  <c r="H853" i="5"/>
  <c r="I853" i="5"/>
  <c r="H854" i="5"/>
  <c r="I854" i="5"/>
  <c r="H855" i="5"/>
  <c r="I855" i="5"/>
  <c r="H856" i="5"/>
  <c r="I856" i="5"/>
  <c r="H857" i="5"/>
  <c r="I857" i="5"/>
  <c r="H858" i="5"/>
  <c r="I858" i="5"/>
  <c r="H859" i="5"/>
  <c r="I859" i="5"/>
  <c r="H860" i="5"/>
  <c r="I860" i="5"/>
  <c r="H861" i="5"/>
  <c r="I861" i="5"/>
  <c r="H862" i="5"/>
  <c r="I862" i="5"/>
  <c r="H863" i="5"/>
  <c r="I863" i="5"/>
  <c r="H864" i="5"/>
  <c r="I864" i="5"/>
  <c r="H865" i="5"/>
  <c r="I865" i="5"/>
  <c r="H866" i="5"/>
  <c r="I866" i="5"/>
  <c r="H867" i="5"/>
  <c r="I867" i="5"/>
  <c r="H868" i="5"/>
  <c r="I868" i="5"/>
  <c r="F829" i="5" a="1"/>
  <c r="F829" i="5" s="1"/>
  <c r="I829" i="5" s="1"/>
  <c r="H828" i="5"/>
  <c r="F828" i="5" a="1"/>
  <c r="F828" i="5" s="1"/>
  <c r="I828" i="5" s="1"/>
  <c r="H827" i="5"/>
  <c r="F827" i="5" a="1"/>
  <c r="F827" i="5" s="1"/>
  <c r="I827" i="5" s="1"/>
  <c r="H826" i="5"/>
  <c r="F826" i="5" a="1"/>
  <c r="F826" i="5" s="1"/>
  <c r="I826" i="5" s="1"/>
  <c r="H825" i="5"/>
  <c r="F825" i="5" a="1"/>
  <c r="F825" i="5" s="1"/>
  <c r="I825" i="5" s="1"/>
  <c r="H824" i="5"/>
  <c r="F824" i="5" a="1"/>
  <c r="F824" i="5" s="1"/>
  <c r="I824" i="5" s="1"/>
  <c r="H823" i="5"/>
  <c r="F823" i="5" a="1"/>
  <c r="F823" i="5" s="1"/>
  <c r="I823" i="5" s="1"/>
  <c r="H822" i="5"/>
  <c r="F822" i="5" a="1"/>
  <c r="F822" i="5" s="1"/>
  <c r="I822" i="5" s="1"/>
  <c r="H821" i="5"/>
  <c r="F821" i="5" a="1"/>
  <c r="F821" i="5" s="1"/>
  <c r="I821" i="5" s="1"/>
  <c r="H820" i="5"/>
  <c r="F820" i="5" a="1"/>
  <c r="F820" i="5" s="1"/>
  <c r="I820" i="5" s="1"/>
  <c r="H819" i="5"/>
  <c r="F819" i="5" a="1"/>
  <c r="F819" i="5" s="1"/>
  <c r="I819" i="5" s="1"/>
  <c r="H818" i="5"/>
  <c r="F818" i="5" a="1"/>
  <c r="F818" i="5" s="1"/>
  <c r="I818" i="5" s="1"/>
  <c r="H817" i="5"/>
  <c r="F817" i="5" a="1"/>
  <c r="F817" i="5" s="1"/>
  <c r="I817" i="5" s="1"/>
  <c r="H816" i="5"/>
  <c r="F816" i="5" a="1"/>
  <c r="F816" i="5" s="1"/>
  <c r="I816" i="5" s="1"/>
  <c r="H815" i="5"/>
  <c r="F815" i="5" a="1"/>
  <c r="F815" i="5" s="1"/>
  <c r="I815" i="5" s="1"/>
  <c r="H814" i="5"/>
  <c r="F814" i="5" a="1"/>
  <c r="F814" i="5" s="1"/>
  <c r="I814" i="5" s="1"/>
  <c r="H813" i="5"/>
  <c r="F813" i="5" a="1"/>
  <c r="F813" i="5" s="1"/>
  <c r="I813" i="5" s="1"/>
  <c r="H812" i="5"/>
  <c r="F812" i="5" a="1"/>
  <c r="F812" i="5" s="1"/>
  <c r="I812" i="5" s="1"/>
  <c r="H811" i="5"/>
  <c r="F811" i="5" a="1"/>
  <c r="F811" i="5" s="1"/>
  <c r="I811" i="5" s="1"/>
  <c r="F810" i="5" a="1"/>
  <c r="F810" i="5" s="1"/>
  <c r="H809" i="5"/>
  <c r="F809" i="5" a="1"/>
  <c r="F809" i="5" s="1"/>
  <c r="I809" i="5" s="1"/>
  <c r="H808" i="5"/>
  <c r="F808" i="5" a="1"/>
  <c r="F808" i="5" s="1"/>
  <c r="I808" i="5" s="1"/>
  <c r="F807" i="5" a="1"/>
  <c r="F807" i="5" s="1"/>
  <c r="H806" i="5"/>
  <c r="F806" i="5" a="1"/>
  <c r="F806" i="5" s="1"/>
  <c r="I806" i="5" s="1"/>
  <c r="H805" i="5"/>
  <c r="F805" i="5" a="1"/>
  <c r="F805" i="5" s="1"/>
  <c r="I805" i="5" s="1"/>
  <c r="H804" i="5"/>
  <c r="F804" i="5" a="1"/>
  <c r="F804" i="5" s="1"/>
  <c r="I804" i="5" s="1"/>
  <c r="H803" i="5"/>
  <c r="F803" i="5" a="1"/>
  <c r="F803" i="5" s="1"/>
  <c r="I803" i="5" s="1"/>
  <c r="H802" i="5"/>
  <c r="F802" i="5" a="1"/>
  <c r="F802" i="5" s="1"/>
  <c r="I802" i="5" s="1"/>
  <c r="H801" i="5"/>
  <c r="F801" i="5" a="1"/>
  <c r="F801" i="5" s="1"/>
  <c r="I801" i="5" s="1"/>
  <c r="H800" i="5"/>
  <c r="F800" i="5" a="1"/>
  <c r="F800" i="5" s="1"/>
  <c r="I800" i="5" s="1"/>
  <c r="H799" i="5"/>
  <c r="F799" i="5" a="1"/>
  <c r="F799" i="5" s="1"/>
  <c r="I799" i="5" s="1"/>
  <c r="H798" i="5"/>
  <c r="F798" i="5" a="1"/>
  <c r="F798" i="5" s="1"/>
  <c r="I798" i="5" s="1"/>
  <c r="H797" i="5"/>
  <c r="F797" i="5" a="1"/>
  <c r="F797" i="5" s="1"/>
  <c r="I797" i="5" s="1"/>
  <c r="H796" i="5"/>
  <c r="F796" i="5" a="1"/>
  <c r="F796" i="5" s="1"/>
  <c r="I796" i="5" s="1"/>
  <c r="H795" i="5"/>
  <c r="F795" i="5" a="1"/>
  <c r="F795" i="5" s="1"/>
  <c r="I795" i="5" s="1"/>
  <c r="H794" i="5"/>
  <c r="F794" i="5" a="1"/>
  <c r="F794" i="5" s="1"/>
  <c r="H793" i="5"/>
  <c r="F793" i="5" a="1"/>
  <c r="F793" i="5" s="1"/>
  <c r="H792" i="5"/>
  <c r="F792" i="5" a="1"/>
  <c r="F792" i="5" s="1"/>
  <c r="H791" i="5"/>
  <c r="F791" i="5" a="1"/>
  <c r="F791" i="5" s="1"/>
  <c r="H790" i="5"/>
  <c r="F790" i="5" a="1"/>
  <c r="F790" i="5" s="1"/>
  <c r="H789" i="5"/>
  <c r="F789" i="5" a="1"/>
  <c r="F789" i="5" s="1"/>
  <c r="H788" i="5"/>
  <c r="F788" i="5" a="1"/>
  <c r="F788" i="5" s="1"/>
  <c r="H787" i="5"/>
  <c r="F787" i="5" a="1"/>
  <c r="F787" i="5" s="1"/>
  <c r="H786" i="5"/>
  <c r="F786" i="5" a="1"/>
  <c r="F786" i="5" s="1"/>
  <c r="H785" i="5"/>
  <c r="F785" i="5" a="1"/>
  <c r="F785" i="5" s="1"/>
  <c r="F784" i="5" a="1"/>
  <c r="F784" i="5" s="1"/>
  <c r="I784" i="5" s="1"/>
  <c r="H783" i="5"/>
  <c r="F783" i="5" a="1"/>
  <c r="F783" i="5" s="1"/>
  <c r="I783" i="5" s="1"/>
  <c r="H782" i="5"/>
  <c r="F782" i="5" a="1"/>
  <c r="F782" i="5" s="1"/>
  <c r="I782" i="5" s="1"/>
  <c r="H781" i="5"/>
  <c r="F781" i="5" a="1"/>
  <c r="F781" i="5" s="1"/>
  <c r="I781" i="5" s="1"/>
  <c r="H780" i="5"/>
  <c r="F780" i="5" a="1"/>
  <c r="F780" i="5" s="1"/>
  <c r="I780" i="5" s="1"/>
  <c r="H779" i="5"/>
  <c r="F779" i="5" a="1"/>
  <c r="F779" i="5" s="1"/>
  <c r="I779" i="5" s="1"/>
  <c r="H778" i="5"/>
  <c r="F778" i="5" a="1"/>
  <c r="F778" i="5" s="1"/>
  <c r="I778" i="5" s="1"/>
  <c r="H777" i="5"/>
  <c r="F777" i="5" a="1"/>
  <c r="F777" i="5" s="1"/>
  <c r="I777" i="5" s="1"/>
  <c r="H776" i="5"/>
  <c r="F776" i="5" a="1"/>
  <c r="F776" i="5" s="1"/>
  <c r="I776" i="5" s="1"/>
  <c r="F775" i="5" a="1"/>
  <c r="F775" i="5" s="1"/>
  <c r="H774" i="5"/>
  <c r="F774" i="5" a="1"/>
  <c r="F774" i="5" s="1"/>
  <c r="I774" i="5" s="1"/>
  <c r="H773" i="5"/>
  <c r="F773" i="5" a="1"/>
  <c r="F773" i="5" s="1"/>
  <c r="I773" i="5" s="1"/>
  <c r="H772" i="5"/>
  <c r="F772" i="5" a="1"/>
  <c r="F772" i="5" s="1"/>
  <c r="I772" i="5" s="1"/>
  <c r="H771" i="5"/>
  <c r="F771" i="5" a="1"/>
  <c r="F771" i="5" s="1"/>
  <c r="I771" i="5" s="1"/>
  <c r="H770" i="5"/>
  <c r="F770" i="5" a="1"/>
  <c r="F770" i="5" s="1"/>
  <c r="I770" i="5" s="1"/>
  <c r="H769" i="5"/>
  <c r="F769" i="5" a="1"/>
  <c r="F769" i="5" s="1"/>
  <c r="I769" i="5" s="1"/>
  <c r="H768" i="5"/>
  <c r="F768" i="5" a="1"/>
  <c r="F768" i="5" s="1"/>
  <c r="I768" i="5" s="1"/>
  <c r="F767" i="5" a="1"/>
  <c r="F767" i="5" s="1"/>
  <c r="H766" i="5"/>
  <c r="F766" i="5" a="1"/>
  <c r="F766" i="5" s="1"/>
  <c r="H765" i="5"/>
  <c r="F765" i="5" a="1"/>
  <c r="F765" i="5" s="1"/>
  <c r="I765" i="5" s="1"/>
  <c r="H764" i="5"/>
  <c r="F764" i="5" a="1"/>
  <c r="F764" i="5" s="1"/>
  <c r="H763" i="5"/>
  <c r="F763" i="5" a="1"/>
  <c r="F763" i="5" s="1"/>
  <c r="H762" i="5"/>
  <c r="F762" i="5" a="1"/>
  <c r="F762" i="5" s="1"/>
  <c r="H761" i="5"/>
  <c r="F761" i="5" a="1"/>
  <c r="F761" i="5" s="1"/>
  <c r="H760" i="5"/>
  <c r="F760" i="5" a="1"/>
  <c r="F760" i="5" s="1"/>
  <c r="I760" i="5" s="1"/>
  <c r="H759" i="5"/>
  <c r="F759" i="5" a="1"/>
  <c r="F759" i="5" s="1"/>
  <c r="I759" i="5" s="1"/>
  <c r="H758" i="5"/>
  <c r="F758" i="5" a="1"/>
  <c r="F758" i="5" s="1"/>
  <c r="H757" i="5"/>
  <c r="F757" i="5" a="1"/>
  <c r="F757" i="5" s="1"/>
  <c r="I757" i="5" s="1"/>
  <c r="H756" i="5"/>
  <c r="F756" i="5" a="1"/>
  <c r="F756" i="5" s="1"/>
  <c r="I756" i="5" s="1"/>
  <c r="H755" i="5"/>
  <c r="F755" i="5" a="1"/>
  <c r="F755" i="5" s="1"/>
  <c r="I755" i="5" s="1"/>
  <c r="H754" i="5"/>
  <c r="F754" i="5" a="1"/>
  <c r="F754" i="5" s="1"/>
  <c r="I754" i="5" s="1"/>
  <c r="H753" i="5"/>
  <c r="F753" i="5" a="1"/>
  <c r="F753" i="5" s="1"/>
  <c r="I753" i="5" s="1"/>
  <c r="H752" i="5"/>
  <c r="F752" i="5" a="1"/>
  <c r="F752" i="5" s="1"/>
  <c r="I752" i="5" s="1"/>
  <c r="H751" i="5"/>
  <c r="F751" i="5" a="1"/>
  <c r="F751" i="5" s="1"/>
  <c r="I751" i="5" s="1"/>
  <c r="H750" i="5"/>
  <c r="F750" i="5" a="1"/>
  <c r="F750" i="5" s="1"/>
  <c r="I750" i="5" s="1"/>
  <c r="H749" i="5"/>
  <c r="F749" i="5" a="1"/>
  <c r="F749" i="5" s="1"/>
  <c r="I749" i="5" s="1"/>
  <c r="H748" i="5"/>
  <c r="F748" i="5" a="1"/>
  <c r="F748" i="5" s="1"/>
  <c r="I748" i="5" s="1"/>
  <c r="H747" i="5"/>
  <c r="F747" i="5" a="1"/>
  <c r="F747" i="5" s="1"/>
  <c r="I747" i="5" s="1"/>
  <c r="H746" i="5"/>
  <c r="F746" i="5" a="1"/>
  <c r="F746" i="5" s="1"/>
  <c r="I746" i="5" s="1"/>
  <c r="H745" i="5"/>
  <c r="F745" i="5" a="1"/>
  <c r="F745" i="5" s="1"/>
  <c r="I745" i="5" s="1"/>
  <c r="H744" i="5"/>
  <c r="F744" i="5" a="1"/>
  <c r="F744" i="5" s="1"/>
  <c r="I744" i="5" s="1"/>
  <c r="H743" i="5"/>
  <c r="F743" i="5" a="1"/>
  <c r="F743" i="5" s="1"/>
  <c r="I743" i="5" s="1"/>
  <c r="H742" i="5"/>
  <c r="F742" i="5" a="1"/>
  <c r="F742" i="5" s="1"/>
  <c r="I742" i="5" s="1"/>
  <c r="H741" i="5"/>
  <c r="F741" i="5" a="1"/>
  <c r="F741" i="5" s="1"/>
  <c r="I741" i="5" s="1"/>
  <c r="H740" i="5"/>
  <c r="F740" i="5" a="1"/>
  <c r="F740" i="5" s="1"/>
  <c r="I740" i="5" s="1"/>
  <c r="H739" i="5"/>
  <c r="F739" i="5" a="1"/>
  <c r="F739" i="5" s="1"/>
  <c r="I739" i="5" s="1"/>
  <c r="H738" i="5"/>
  <c r="F738" i="5" a="1"/>
  <c r="F738" i="5" s="1"/>
  <c r="I738" i="5" s="1"/>
  <c r="H737" i="5"/>
  <c r="F737" i="5" a="1"/>
  <c r="F737" i="5" s="1"/>
  <c r="I737" i="5" s="1"/>
  <c r="H736" i="5"/>
  <c r="F736" i="5" a="1"/>
  <c r="F736" i="5" s="1"/>
  <c r="I736" i="5" s="1"/>
  <c r="H735" i="5"/>
  <c r="F735" i="5" a="1"/>
  <c r="F735" i="5" s="1"/>
  <c r="I735" i="5" s="1"/>
  <c r="H734" i="5"/>
  <c r="F734" i="5" a="1"/>
  <c r="F734" i="5" s="1"/>
  <c r="I734" i="5" s="1"/>
  <c r="H733" i="5"/>
  <c r="F733" i="5" a="1"/>
  <c r="F733" i="5" s="1"/>
  <c r="I733" i="5" s="1"/>
  <c r="H732" i="5"/>
  <c r="F732" i="5" a="1"/>
  <c r="F732" i="5" s="1"/>
  <c r="I732" i="5" s="1"/>
  <c r="H731" i="5"/>
  <c r="F731" i="5" a="1"/>
  <c r="F731" i="5" s="1"/>
  <c r="I731" i="5" s="1"/>
  <c r="H730" i="5"/>
  <c r="F730" i="5" a="1"/>
  <c r="F730" i="5" s="1"/>
  <c r="I730" i="5" s="1"/>
  <c r="F729" i="5" a="1"/>
  <c r="F729" i="5" s="1"/>
  <c r="H728" i="5"/>
  <c r="F728" i="5" a="1"/>
  <c r="F728" i="5" s="1"/>
  <c r="I728" i="5" s="1"/>
  <c r="H727" i="5"/>
  <c r="F727" i="5" a="1"/>
  <c r="F727" i="5" s="1"/>
  <c r="I727" i="5" s="1"/>
  <c r="H726" i="5"/>
  <c r="F726" i="5" a="1"/>
  <c r="F726" i="5" s="1"/>
  <c r="H725" i="5"/>
  <c r="F725" i="5" a="1"/>
  <c r="F725" i="5" s="1"/>
  <c r="I725" i="5" s="1"/>
  <c r="H724" i="5"/>
  <c r="F724" i="5" a="1"/>
  <c r="F724" i="5" s="1"/>
  <c r="I724" i="5" s="1"/>
  <c r="H723" i="5"/>
  <c r="F723" i="5" a="1"/>
  <c r="F723" i="5" s="1"/>
  <c r="I723" i="5" s="1"/>
  <c r="H722" i="5"/>
  <c r="F722" i="5" a="1"/>
  <c r="F722" i="5" s="1"/>
  <c r="I722" i="5" s="1"/>
  <c r="H721" i="5"/>
  <c r="F721" i="5" a="1"/>
  <c r="F721" i="5" s="1"/>
  <c r="I721" i="5" s="1"/>
  <c r="H720" i="5"/>
  <c r="F720" i="5" a="1"/>
  <c r="F720" i="5" s="1"/>
  <c r="I720" i="5" s="1"/>
  <c r="H719" i="5"/>
  <c r="F719" i="5" a="1"/>
  <c r="F719" i="5" s="1"/>
  <c r="I719" i="5" s="1"/>
  <c r="H718" i="5"/>
  <c r="F718" i="5" a="1"/>
  <c r="F718" i="5" s="1"/>
  <c r="I718" i="5" s="1"/>
  <c r="H717" i="5"/>
  <c r="F717" i="5" a="1"/>
  <c r="F717" i="5" s="1"/>
  <c r="I717" i="5" s="1"/>
  <c r="H716" i="5"/>
  <c r="F716" i="5" a="1"/>
  <c r="F716" i="5" s="1"/>
  <c r="I716" i="5" s="1"/>
  <c r="H715" i="5"/>
  <c r="F715" i="5" a="1"/>
  <c r="F715" i="5" s="1"/>
  <c r="I715" i="5" s="1"/>
  <c r="H714" i="5"/>
  <c r="F714" i="5" a="1"/>
  <c r="F714" i="5" s="1"/>
  <c r="I714" i="5" s="1"/>
  <c r="H713" i="5"/>
  <c r="F713" i="5" a="1"/>
  <c r="F713" i="5" s="1"/>
  <c r="I713" i="5" s="1"/>
  <c r="H712" i="5"/>
  <c r="F712" i="5" a="1"/>
  <c r="F712" i="5" s="1"/>
  <c r="I712" i="5" s="1"/>
  <c r="H711" i="5"/>
  <c r="F711" i="5" a="1"/>
  <c r="F711" i="5" s="1"/>
  <c r="I711" i="5" s="1"/>
  <c r="H710" i="5"/>
  <c r="F710" i="5" a="1"/>
  <c r="F710" i="5" s="1"/>
  <c r="I710" i="5" s="1"/>
  <c r="H709" i="5"/>
  <c r="F709" i="5" a="1"/>
  <c r="F709" i="5" s="1"/>
  <c r="I709" i="5" s="1"/>
  <c r="H708" i="5"/>
  <c r="F708" i="5" a="1"/>
  <c r="F708" i="5" s="1"/>
  <c r="I708" i="5" s="1"/>
  <c r="H707" i="5"/>
  <c r="F707" i="5" a="1"/>
  <c r="F707" i="5" s="1"/>
  <c r="I707" i="5" s="1"/>
  <c r="H706" i="5"/>
  <c r="F706" i="5" a="1"/>
  <c r="F706" i="5" s="1"/>
  <c r="I706" i="5" s="1"/>
  <c r="H705" i="5"/>
  <c r="F705" i="5" a="1"/>
  <c r="F705" i="5" s="1"/>
  <c r="I705" i="5" s="1"/>
  <c r="H704" i="5"/>
  <c r="F704" i="5" a="1"/>
  <c r="F704" i="5" s="1"/>
  <c r="I704" i="5" s="1"/>
  <c r="H703" i="5"/>
  <c r="F703" i="5" a="1"/>
  <c r="F703" i="5" s="1"/>
  <c r="I703" i="5" s="1"/>
  <c r="H702" i="5"/>
  <c r="F702" i="5" a="1"/>
  <c r="F702" i="5" s="1"/>
  <c r="I702" i="5" s="1"/>
  <c r="H701" i="5"/>
  <c r="F701" i="5" a="1"/>
  <c r="F701" i="5" s="1"/>
  <c r="I701" i="5" s="1"/>
  <c r="H700" i="5"/>
  <c r="F700" i="5" a="1"/>
  <c r="F700" i="5" s="1"/>
  <c r="I700" i="5" s="1"/>
  <c r="H699" i="5"/>
  <c r="F699" i="5" a="1"/>
  <c r="F699" i="5" s="1"/>
  <c r="I699" i="5" s="1"/>
  <c r="H698" i="5"/>
  <c r="F698" i="5" a="1"/>
  <c r="F698" i="5" s="1"/>
  <c r="I698" i="5" s="1"/>
  <c r="H697" i="5"/>
  <c r="F697" i="5" a="1"/>
  <c r="F697" i="5" s="1"/>
  <c r="I697" i="5" s="1"/>
  <c r="F696" i="5" a="1"/>
  <c r="F696" i="5" s="1"/>
  <c r="F695" i="5" a="1"/>
  <c r="F695" i="5" s="1"/>
  <c r="F694" i="5" a="1"/>
  <c r="F694" i="5" s="1"/>
  <c r="H693" i="5"/>
  <c r="F693" i="5" a="1"/>
  <c r="F693" i="5" s="1"/>
  <c r="I693" i="5" s="1"/>
  <c r="F692" i="5" a="1"/>
  <c r="F692" i="5" s="1"/>
  <c r="H691" i="5"/>
  <c r="F691" i="5" a="1"/>
  <c r="F691" i="5" s="1"/>
  <c r="I691" i="5" s="1"/>
  <c r="H690" i="5"/>
  <c r="F690" i="5" a="1"/>
  <c r="F690" i="5" s="1"/>
  <c r="I690" i="5" s="1"/>
  <c r="H689" i="5"/>
  <c r="F689" i="5" a="1"/>
  <c r="F689" i="5" s="1"/>
  <c r="I689" i="5" s="1"/>
  <c r="H688" i="5"/>
  <c r="F688" i="5" a="1"/>
  <c r="F688" i="5" s="1"/>
  <c r="I688" i="5" s="1"/>
  <c r="H687" i="5"/>
  <c r="F687" i="5" a="1"/>
  <c r="F687" i="5" s="1"/>
  <c r="I687" i="5" s="1"/>
  <c r="H686" i="5"/>
  <c r="F686" i="5" a="1"/>
  <c r="F686" i="5" s="1"/>
  <c r="I686" i="5" s="1"/>
  <c r="H685" i="5"/>
  <c r="F685" i="5" a="1"/>
  <c r="F685" i="5" s="1"/>
  <c r="I685" i="5" s="1"/>
  <c r="H684" i="5"/>
  <c r="F684" i="5" a="1"/>
  <c r="F684" i="5" s="1"/>
  <c r="I684" i="5" s="1"/>
  <c r="H683" i="5"/>
  <c r="F683" i="5" a="1"/>
  <c r="F683" i="5" s="1"/>
  <c r="I683" i="5" s="1"/>
  <c r="H682" i="5"/>
  <c r="F682" i="5" a="1"/>
  <c r="F682" i="5" s="1"/>
  <c r="I682" i="5" s="1"/>
  <c r="H679" i="5"/>
  <c r="F679" i="5" a="1"/>
  <c r="F679" i="5" s="1"/>
  <c r="H678" i="5"/>
  <c r="F678" i="5" a="1"/>
  <c r="F678" i="5" s="1"/>
  <c r="H676" i="5"/>
  <c r="F676" i="5" a="1"/>
  <c r="F676" i="5" s="1"/>
  <c r="I676" i="5" s="1"/>
  <c r="H675" i="5"/>
  <c r="F675" i="5" a="1"/>
  <c r="F675" i="5" s="1"/>
  <c r="I675" i="5" s="1"/>
  <c r="H674" i="5"/>
  <c r="F674" i="5" a="1"/>
  <c r="F674" i="5" s="1"/>
  <c r="I674" i="5" s="1"/>
  <c r="H673" i="5"/>
  <c r="F673" i="5" a="1"/>
  <c r="F673" i="5" s="1"/>
  <c r="I673" i="5" s="1"/>
  <c r="H672" i="5"/>
  <c r="F672" i="5" a="1"/>
  <c r="F672" i="5" s="1"/>
  <c r="I672" i="5" s="1"/>
  <c r="H671" i="5"/>
  <c r="F671" i="5" a="1"/>
  <c r="F671" i="5" s="1"/>
  <c r="I671" i="5" s="1"/>
  <c r="H670" i="5"/>
  <c r="F670" i="5" a="1"/>
  <c r="F670" i="5" s="1"/>
  <c r="I670" i="5" s="1"/>
  <c r="H669" i="5"/>
  <c r="F669" i="5" a="1"/>
  <c r="F669" i="5" s="1"/>
  <c r="I669" i="5" s="1"/>
  <c r="H668" i="5"/>
  <c r="F668" i="5" a="1"/>
  <c r="F668" i="5" s="1"/>
  <c r="I668" i="5" s="1"/>
  <c r="H666" i="5"/>
  <c r="F666" i="5" a="1"/>
  <c r="F666" i="5" s="1"/>
  <c r="I666" i="5" s="1"/>
  <c r="H665" i="5"/>
  <c r="F665" i="5" a="1"/>
  <c r="F665" i="5" s="1"/>
  <c r="I665" i="5" s="1"/>
  <c r="H664" i="5"/>
  <c r="F664" i="5" a="1"/>
  <c r="F664" i="5" s="1"/>
  <c r="I664" i="5" s="1"/>
  <c r="H663" i="5"/>
  <c r="F663" i="5" a="1"/>
  <c r="F663" i="5" s="1"/>
  <c r="I663" i="5" s="1"/>
  <c r="H662" i="5"/>
  <c r="F662" i="5" a="1"/>
  <c r="F662" i="5" s="1"/>
  <c r="I662" i="5" s="1"/>
  <c r="H661" i="5"/>
  <c r="F661" i="5" a="1"/>
  <c r="F661" i="5" s="1"/>
  <c r="I661" i="5" s="1"/>
  <c r="H659" i="5"/>
  <c r="F659" i="5" a="1"/>
  <c r="F659" i="5" s="1"/>
  <c r="I659" i="5" s="1"/>
  <c r="H655" i="5"/>
  <c r="F655" i="5" a="1"/>
  <c r="F655" i="5" s="1"/>
  <c r="I655" i="5" s="1"/>
  <c r="H648" i="5"/>
  <c r="F648" i="5" a="1"/>
  <c r="F648" i="5" s="1"/>
  <c r="I648" i="5" s="1"/>
  <c r="H640" i="5"/>
  <c r="F640" i="5" a="1"/>
  <c r="F640" i="5" s="1"/>
  <c r="I640" i="5" s="1"/>
  <c r="H639" i="5"/>
  <c r="F639" i="5" a="1"/>
  <c r="F639" i="5" s="1"/>
  <c r="I639" i="5" s="1"/>
  <c r="H638" i="5"/>
  <c r="F638" i="5" a="1"/>
  <c r="F638" i="5" s="1"/>
  <c r="I638" i="5" s="1"/>
  <c r="H636" i="5"/>
  <c r="F636" i="5" a="1"/>
  <c r="F636" i="5" s="1"/>
  <c r="I636" i="5" s="1"/>
  <c r="H627" i="5"/>
  <c r="F627" i="5" a="1"/>
  <c r="F627" i="5" s="1"/>
  <c r="I627" i="5" s="1"/>
  <c r="H606" i="5"/>
  <c r="F606" i="5" a="1"/>
  <c r="F606" i="5" s="1"/>
  <c r="I606" i="5" s="1"/>
  <c r="H594" i="5"/>
  <c r="F594" i="5" a="1"/>
  <c r="F594" i="5" s="1"/>
  <c r="I594" i="5" s="1"/>
  <c r="H593" i="5"/>
  <c r="F593" i="5" a="1"/>
  <c r="F593" i="5" s="1"/>
  <c r="I593" i="5" s="1"/>
  <c r="H592" i="5"/>
  <c r="F592" i="5" a="1"/>
  <c r="F592" i="5" s="1"/>
  <c r="I592" i="5" s="1"/>
  <c r="H591" i="5"/>
  <c r="F591" i="5" a="1"/>
  <c r="F591" i="5" s="1"/>
  <c r="I591" i="5" s="1"/>
  <c r="H590" i="5"/>
  <c r="F590" i="5" a="1"/>
  <c r="F590" i="5" s="1"/>
  <c r="I590" i="5" s="1"/>
  <c r="H589" i="5"/>
  <c r="F589" i="5" a="1"/>
  <c r="F589" i="5" s="1"/>
  <c r="I589" i="5" s="1"/>
  <c r="H588" i="5"/>
  <c r="F588" i="5" a="1"/>
  <c r="F588" i="5" s="1"/>
  <c r="I588" i="5" s="1"/>
  <c r="H587" i="5"/>
  <c r="F587" i="5" a="1"/>
  <c r="F587" i="5" s="1"/>
  <c r="I587" i="5" s="1"/>
  <c r="H586" i="5"/>
  <c r="F586" i="5" a="1"/>
  <c r="F586" i="5" s="1"/>
  <c r="I586" i="5" s="1"/>
  <c r="H585" i="5"/>
  <c r="F585" i="5" a="1"/>
  <c r="F585" i="5" s="1"/>
  <c r="I585" i="5" s="1"/>
  <c r="H584" i="5"/>
  <c r="F584" i="5" a="1"/>
  <c r="F584" i="5" s="1"/>
  <c r="I584" i="5" s="1"/>
  <c r="H575" i="5"/>
  <c r="F575" i="5" a="1"/>
  <c r="F575" i="5" s="1"/>
  <c r="I575" i="5" s="1"/>
  <c r="H571" i="5"/>
  <c r="F571" i="5" a="1"/>
  <c r="F571" i="5" s="1"/>
  <c r="I571" i="5" s="1"/>
  <c r="H530" i="5"/>
  <c r="F530" i="5" a="1"/>
  <c r="F530" i="5" s="1"/>
  <c r="H527" i="5"/>
  <c r="F527" i="5" a="1"/>
  <c r="F527" i="5" s="1"/>
  <c r="H489" i="5"/>
  <c r="F489" i="5" a="1"/>
  <c r="F489" i="5" s="1"/>
  <c r="I489" i="5" s="1"/>
  <c r="H488" i="5"/>
  <c r="F488" i="5" a="1"/>
  <c r="F488" i="5" s="1"/>
  <c r="I488" i="5" s="1"/>
  <c r="H468" i="5"/>
  <c r="F468" i="5" a="1"/>
  <c r="F468" i="5" s="1"/>
  <c r="I468" i="5" s="1"/>
  <c r="H413" i="5"/>
  <c r="F413" i="5" a="1"/>
  <c r="F413" i="5" s="1"/>
  <c r="I413" i="5" s="1"/>
  <c r="H355" i="5"/>
  <c r="F355" i="5" a="1"/>
  <c r="F355" i="5" s="1"/>
  <c r="I355" i="5" s="1"/>
  <c r="L30" i="8"/>
  <c r="K30" i="8"/>
  <c r="J30" i="8"/>
  <c r="I30" i="8"/>
  <c r="E30" i="8"/>
  <c r="D30" i="8"/>
  <c r="C30" i="8"/>
  <c r="B30" i="8"/>
  <c r="L29" i="8"/>
  <c r="K29" i="8"/>
  <c r="J29" i="8"/>
  <c r="I29" i="8"/>
  <c r="E29" i="8"/>
  <c r="D29" i="8"/>
  <c r="C29" i="8"/>
  <c r="B29" i="8"/>
  <c r="L28" i="8"/>
  <c r="K28" i="8"/>
  <c r="J28" i="8"/>
  <c r="I28" i="8"/>
  <c r="E28" i="8"/>
  <c r="D28" i="8"/>
  <c r="C28" i="8"/>
  <c r="B28" i="8"/>
  <c r="L27" i="8"/>
  <c r="K27" i="8"/>
  <c r="J27" i="8"/>
  <c r="I27" i="8"/>
  <c r="E27" i="8"/>
  <c r="D27" i="8"/>
  <c r="C27" i="8"/>
  <c r="B27" i="8"/>
  <c r="L26" i="8"/>
  <c r="K26" i="8"/>
  <c r="J26" i="8"/>
  <c r="I26" i="8"/>
  <c r="E26" i="8"/>
  <c r="D26" i="8"/>
  <c r="C26" i="8"/>
  <c r="B26" i="8"/>
  <c r="L25" i="8"/>
  <c r="K25" i="8"/>
  <c r="J25" i="8"/>
  <c r="I25" i="8"/>
  <c r="E25" i="8"/>
  <c r="D25" i="8"/>
  <c r="C25" i="8"/>
  <c r="B25" i="8"/>
  <c r="L24" i="8"/>
  <c r="K24" i="8"/>
  <c r="J24" i="8"/>
  <c r="I24" i="8"/>
  <c r="E24" i="8"/>
  <c r="D24" i="8"/>
  <c r="C24" i="8"/>
  <c r="B24" i="8"/>
  <c r="L23" i="8"/>
  <c r="K23" i="8"/>
  <c r="J23" i="8"/>
  <c r="I23" i="8"/>
  <c r="E23" i="8"/>
  <c r="D23" i="8"/>
  <c r="C23" i="8"/>
  <c r="B23" i="8"/>
  <c r="L22" i="8"/>
  <c r="K22" i="8"/>
  <c r="J22" i="8"/>
  <c r="I22" i="8"/>
  <c r="E22" i="8"/>
  <c r="D22" i="8"/>
  <c r="C22" i="8"/>
  <c r="B22" i="8"/>
  <c r="L21" i="8"/>
  <c r="K21" i="8"/>
  <c r="J21" i="8"/>
  <c r="I21" i="8"/>
  <c r="E21" i="8"/>
  <c r="D21" i="8"/>
  <c r="C21" i="8"/>
  <c r="B21" i="8"/>
  <c r="L20" i="8"/>
  <c r="K20" i="8"/>
  <c r="J20" i="8"/>
  <c r="I20" i="8"/>
  <c r="E20" i="8"/>
  <c r="D20" i="8"/>
  <c r="C20" i="8"/>
  <c r="B20" i="8"/>
  <c r="L19" i="8"/>
  <c r="K19" i="8"/>
  <c r="J19" i="8"/>
  <c r="I19" i="8"/>
  <c r="E19" i="8"/>
  <c r="D19" i="8"/>
  <c r="C19" i="8"/>
  <c r="B19" i="8"/>
  <c r="L14" i="8"/>
  <c r="K14" i="8"/>
  <c r="J14" i="8"/>
  <c r="I14" i="8"/>
  <c r="E14" i="8"/>
  <c r="D14" i="8"/>
  <c r="C14" i="8"/>
  <c r="B14" i="8"/>
  <c r="L13" i="8"/>
  <c r="K13" i="8"/>
  <c r="J13" i="8"/>
  <c r="I13" i="8"/>
  <c r="E13" i="8"/>
  <c r="D13" i="8"/>
  <c r="C13" i="8"/>
  <c r="B13" i="8"/>
  <c r="L12" i="8"/>
  <c r="K12" i="8"/>
  <c r="J12" i="8"/>
  <c r="I12" i="8"/>
  <c r="E12" i="8"/>
  <c r="D12" i="8"/>
  <c r="C12" i="8"/>
  <c r="B12" i="8"/>
  <c r="L11" i="8"/>
  <c r="K11" i="8"/>
  <c r="J11" i="8"/>
  <c r="I11" i="8"/>
  <c r="E11" i="8"/>
  <c r="D11" i="8"/>
  <c r="C11" i="8"/>
  <c r="B11" i="8"/>
  <c r="L10" i="8"/>
  <c r="K10" i="8"/>
  <c r="J10" i="8"/>
  <c r="I10" i="8"/>
  <c r="E10" i="8"/>
  <c r="D10" i="8"/>
  <c r="C10" i="8"/>
  <c r="B10" i="8"/>
  <c r="L9" i="8"/>
  <c r="K9" i="8"/>
  <c r="J9" i="8"/>
  <c r="I9" i="8"/>
  <c r="E9" i="8"/>
  <c r="D9" i="8"/>
  <c r="C9" i="8"/>
  <c r="B9" i="8"/>
  <c r="L8" i="8"/>
  <c r="K8" i="8"/>
  <c r="J8" i="8"/>
  <c r="I8" i="8"/>
  <c r="E8" i="8"/>
  <c r="D8" i="8"/>
  <c r="C8" i="8"/>
  <c r="B8" i="8"/>
  <c r="L7" i="8"/>
  <c r="K7" i="8"/>
  <c r="J7" i="8"/>
  <c r="I7" i="8"/>
  <c r="E7" i="8"/>
  <c r="D7" i="8"/>
  <c r="C7" i="8"/>
  <c r="B7" i="8"/>
  <c r="L6" i="8"/>
  <c r="K6" i="8"/>
  <c r="J6" i="8"/>
  <c r="I6" i="8"/>
  <c r="E6" i="8"/>
  <c r="D6" i="8"/>
  <c r="C6" i="8"/>
  <c r="B6" i="8"/>
  <c r="L5" i="8"/>
  <c r="K5" i="8"/>
  <c r="J5" i="8"/>
  <c r="I5" i="8"/>
  <c r="E5" i="8"/>
  <c r="D5" i="8"/>
  <c r="C5" i="8"/>
  <c r="B5" i="8"/>
  <c r="L4" i="8"/>
  <c r="K4" i="8"/>
  <c r="J4" i="8"/>
  <c r="I4" i="8"/>
  <c r="E4" i="8"/>
  <c r="D4" i="8"/>
  <c r="C4" i="8"/>
  <c r="B4" i="8"/>
  <c r="L3" i="8"/>
  <c r="K3" i="8"/>
  <c r="J3" i="8"/>
  <c r="I3" i="8"/>
  <c r="E3" i="8"/>
  <c r="D3" i="8"/>
  <c r="C3" i="8"/>
  <c r="B3" i="8"/>
  <c r="P43" i="5"/>
  <c r="P42" i="5"/>
  <c r="P41" i="5"/>
  <c r="P40" i="5"/>
  <c r="P39" i="5"/>
  <c r="P38" i="5"/>
  <c r="P37" i="5"/>
  <c r="P35" i="5"/>
  <c r="P34" i="5"/>
  <c r="P33" i="5"/>
  <c r="P32" i="5"/>
  <c r="P31" i="5"/>
  <c r="P30" i="5"/>
  <c r="P29" i="5"/>
  <c r="P27" i="5"/>
  <c r="P26" i="5"/>
  <c r="T28" i="5"/>
  <c r="P25" i="5"/>
  <c r="T27" i="5"/>
  <c r="P24" i="5"/>
  <c r="T26" i="5"/>
  <c r="P23" i="5"/>
  <c r="T25" i="5"/>
  <c r="P22" i="5"/>
  <c r="P21" i="5"/>
  <c r="T23" i="5"/>
  <c r="T22" i="5"/>
  <c r="T21" i="5"/>
  <c r="P14" i="5"/>
  <c r="P13" i="5"/>
  <c r="P12" i="5"/>
  <c r="T13" i="5"/>
  <c r="P11" i="5"/>
  <c r="T12" i="5"/>
  <c r="T10" i="5"/>
  <c r="P9" i="5"/>
  <c r="P8" i="5"/>
  <c r="T8" i="5"/>
  <c r="P7" i="5"/>
  <c r="T6" i="5"/>
  <c r="P6" i="5"/>
  <c r="T5" i="5"/>
  <c r="P5" i="5"/>
  <c r="P6" i="6"/>
  <c r="P11" i="6"/>
  <c r="P10" i="6"/>
  <c r="P9" i="6"/>
  <c r="P8" i="6"/>
  <c r="P7" i="6"/>
  <c r="P5" i="6"/>
  <c r="H402" i="6"/>
  <c r="H401" i="6"/>
  <c r="H400" i="6"/>
  <c r="H399" i="6"/>
  <c r="H398" i="6"/>
  <c r="H397" i="6"/>
  <c r="H396" i="6"/>
  <c r="H395" i="6"/>
  <c r="H394" i="6"/>
  <c r="H393" i="6"/>
  <c r="H392" i="6"/>
  <c r="H391" i="6"/>
  <c r="H390" i="6"/>
  <c r="H389" i="6"/>
  <c r="H388" i="6"/>
  <c r="H387" i="6"/>
  <c r="H386" i="6"/>
  <c r="H385" i="6"/>
  <c r="H383" i="6"/>
  <c r="H382" i="6"/>
  <c r="H378" i="6"/>
  <c r="H376" i="6"/>
  <c r="H375" i="6"/>
  <c r="H374" i="6"/>
  <c r="H373" i="6"/>
  <c r="H372" i="6"/>
  <c r="H371" i="6"/>
  <c r="H370" i="6"/>
  <c r="H368" i="6"/>
  <c r="H364" i="6"/>
  <c r="H363" i="6"/>
  <c r="H307" i="6"/>
  <c r="H276" i="6"/>
  <c r="H457" i="6"/>
  <c r="H456" i="6"/>
  <c r="H455" i="6"/>
  <c r="H454" i="6"/>
  <c r="H453" i="6"/>
  <c r="H452" i="6"/>
  <c r="H451" i="6"/>
  <c r="H450" i="6"/>
  <c r="H449" i="6"/>
  <c r="H448" i="6"/>
  <c r="H447" i="6"/>
  <c r="H446" i="6"/>
  <c r="H445" i="6"/>
  <c r="H444" i="6"/>
  <c r="H443" i="6"/>
  <c r="H442" i="6"/>
  <c r="H441" i="6"/>
  <c r="H439" i="6"/>
  <c r="H438" i="6"/>
  <c r="H437" i="6"/>
  <c r="H436" i="6"/>
  <c r="H435" i="6"/>
  <c r="H440" i="6"/>
  <c r="H434" i="6"/>
  <c r="H433" i="6"/>
  <c r="H432" i="6"/>
  <c r="H431" i="6"/>
  <c r="H430" i="6"/>
  <c r="H429" i="6"/>
  <c r="H428" i="6"/>
  <c r="H427" i="6"/>
  <c r="H426" i="6"/>
  <c r="H425" i="6"/>
  <c r="H424" i="6"/>
  <c r="H423" i="6"/>
  <c r="H422" i="6"/>
  <c r="H421" i="6"/>
  <c r="H420" i="6"/>
  <c r="H419" i="6"/>
  <c r="H418" i="6"/>
  <c r="H417" i="6"/>
  <c r="H416" i="6"/>
  <c r="H415" i="6"/>
  <c r="H414" i="6"/>
  <c r="H413" i="6"/>
  <c r="H412" i="6"/>
  <c r="H411" i="6"/>
  <c r="H410" i="6"/>
  <c r="H409" i="6"/>
  <c r="H522" i="6"/>
  <c r="H521" i="6"/>
  <c r="H520" i="6"/>
  <c r="H519" i="6"/>
  <c r="H517" i="6"/>
  <c r="H514" i="6"/>
  <c r="H513" i="6"/>
  <c r="H512" i="6"/>
  <c r="H511" i="6"/>
  <c r="H510" i="6"/>
  <c r="H509" i="6"/>
  <c r="H508" i="6"/>
  <c r="H507" i="6"/>
  <c r="H505" i="6"/>
  <c r="H504" i="6"/>
  <c r="H497" i="6"/>
  <c r="H496" i="6"/>
  <c r="H495" i="6"/>
  <c r="H494" i="6"/>
  <c r="H493" i="6"/>
  <c r="H492" i="6"/>
  <c r="H491" i="6"/>
  <c r="H487" i="6"/>
  <c r="H486" i="6"/>
  <c r="H485" i="6"/>
  <c r="H484" i="6"/>
  <c r="H483" i="6"/>
  <c r="H482" i="6"/>
  <c r="H481" i="6"/>
  <c r="H480" i="6"/>
  <c r="H479" i="6"/>
  <c r="H478" i="6"/>
  <c r="H477" i="6"/>
  <c r="H476" i="6"/>
  <c r="H475" i="6"/>
  <c r="H474" i="6"/>
  <c r="H473" i="6"/>
  <c r="H472" i="6"/>
  <c r="H471" i="6"/>
  <c r="H470" i="6"/>
  <c r="H469" i="6"/>
  <c r="H468" i="6"/>
  <c r="H465" i="6"/>
  <c r="H464" i="6"/>
  <c r="H463" i="6"/>
  <c r="H462" i="6"/>
  <c r="H461" i="6"/>
  <c r="H460" i="6"/>
  <c r="H459" i="6"/>
  <c r="H458" i="6"/>
  <c r="H852" i="6"/>
  <c r="H573" i="6"/>
  <c r="H563" i="6"/>
  <c r="H562" i="6"/>
  <c r="H561" i="6"/>
  <c r="H560" i="6"/>
  <c r="H559" i="6"/>
  <c r="H555" i="6"/>
  <c r="H554" i="6"/>
  <c r="H553" i="6"/>
  <c r="H548" i="6"/>
  <c r="H547" i="6"/>
  <c r="H546" i="6"/>
  <c r="H545" i="6"/>
  <c r="H544" i="6"/>
  <c r="H543" i="6"/>
  <c r="H542" i="6"/>
  <c r="H541" i="6"/>
  <c r="H538" i="6"/>
  <c r="H537" i="6"/>
  <c r="H526" i="6"/>
  <c r="H525" i="6"/>
  <c r="H524" i="6"/>
  <c r="H523" i="6"/>
  <c r="H578" i="6"/>
  <c r="H577" i="6"/>
  <c r="H576" i="6"/>
  <c r="H575" i="6"/>
  <c r="H574" i="6"/>
  <c r="H572" i="6"/>
  <c r="H571" i="6"/>
  <c r="H570" i="6"/>
  <c r="H569" i="6"/>
  <c r="H568" i="6"/>
  <c r="H567" i="6"/>
  <c r="H566" i="6"/>
  <c r="H565" i="6"/>
  <c r="H564" i="6"/>
  <c r="H558" i="6"/>
  <c r="H557" i="6"/>
  <c r="H556" i="6"/>
  <c r="H551" i="6"/>
  <c r="H550" i="6"/>
  <c r="H549" i="6"/>
  <c r="H540" i="6"/>
  <c r="H539" i="6"/>
  <c r="H536" i="6"/>
  <c r="H535" i="6"/>
  <c r="H534" i="6"/>
  <c r="H533" i="6"/>
  <c r="H532" i="6"/>
  <c r="H531" i="6"/>
  <c r="H530" i="6"/>
  <c r="H528" i="6"/>
  <c r="H527" i="6"/>
  <c r="H518" i="6"/>
  <c r="H516" i="6"/>
  <c r="H515" i="6"/>
  <c r="H503" i="6"/>
  <c r="H502" i="6"/>
  <c r="H501" i="6"/>
  <c r="H500" i="6"/>
  <c r="H499" i="6"/>
  <c r="H490" i="6"/>
  <c r="H489" i="6"/>
  <c r="H488" i="6"/>
  <c r="H467" i="6"/>
  <c r="H381" i="6"/>
  <c r="H380" i="6"/>
  <c r="H379" i="6"/>
  <c r="H345" i="6"/>
  <c r="H274" i="6"/>
  <c r="H623" i="6"/>
  <c r="H622" i="6"/>
  <c r="H621" i="6"/>
  <c r="H620" i="6"/>
  <c r="H619" i="6"/>
  <c r="H618" i="6"/>
  <c r="H617" i="6"/>
  <c r="H616" i="6"/>
  <c r="H615" i="6"/>
  <c r="H614" i="6"/>
  <c r="H613" i="6"/>
  <c r="H612" i="6"/>
  <c r="H611" i="6"/>
  <c r="H610" i="6"/>
  <c r="H609" i="6"/>
  <c r="H608" i="6"/>
  <c r="H607" i="6"/>
  <c r="H606" i="6"/>
  <c r="H605" i="6"/>
  <c r="H604" i="6"/>
  <c r="H603" i="6"/>
  <c r="H602" i="6"/>
  <c r="H601" i="6"/>
  <c r="H600" i="6"/>
  <c r="H599" i="6"/>
  <c r="H598" i="6"/>
  <c r="H597" i="6"/>
  <c r="H595" i="6"/>
  <c r="H594" i="6"/>
  <c r="H593" i="6"/>
  <c r="H591" i="6"/>
  <c r="H590" i="6"/>
  <c r="H589" i="6"/>
  <c r="H588" i="6"/>
  <c r="H587" i="6"/>
  <c r="H586" i="6"/>
  <c r="H585" i="6"/>
  <c r="H584" i="6"/>
  <c r="H583" i="6"/>
  <c r="H582" i="6"/>
  <c r="H581" i="6"/>
  <c r="H580" i="6"/>
  <c r="H579" i="6"/>
  <c r="H683" i="6"/>
  <c r="H672" i="6"/>
  <c r="H655" i="6"/>
  <c r="H650" i="6"/>
  <c r="H649" i="6"/>
  <c r="H648" i="6"/>
  <c r="H646" i="6"/>
  <c r="H644" i="6"/>
  <c r="H643" i="6"/>
  <c r="H642" i="6"/>
  <c r="H641" i="6"/>
  <c r="H640" i="6"/>
  <c r="H639" i="6"/>
  <c r="H638" i="6"/>
  <c r="H636" i="6"/>
  <c r="H631" i="6"/>
  <c r="H630" i="6"/>
  <c r="H629" i="6"/>
  <c r="H628" i="6"/>
  <c r="H627" i="6"/>
  <c r="H626" i="6"/>
  <c r="H625" i="6"/>
  <c r="H624" i="6"/>
  <c r="H853" i="6"/>
  <c r="H854" i="6"/>
  <c r="H855" i="6"/>
  <c r="H856" i="6"/>
  <c r="H857" i="6"/>
  <c r="H858" i="6"/>
  <c r="H859" i="6"/>
  <c r="H860" i="6"/>
  <c r="H861" i="6"/>
  <c r="H862" i="6"/>
  <c r="H863" i="6"/>
  <c r="H864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81" i="6"/>
  <c r="H882" i="6"/>
  <c r="H883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900" i="6"/>
  <c r="H901" i="6"/>
  <c r="H902" i="6"/>
  <c r="H903" i="6"/>
  <c r="H904" i="6"/>
  <c r="H905" i="6"/>
  <c r="H906" i="6"/>
  <c r="H907" i="6"/>
  <c r="H908" i="6"/>
  <c r="H909" i="6"/>
  <c r="H910" i="6"/>
  <c r="H911" i="6"/>
  <c r="H912" i="6"/>
  <c r="H913" i="6"/>
  <c r="H914" i="6"/>
  <c r="H915" i="6"/>
  <c r="H916" i="6"/>
  <c r="H917" i="6"/>
  <c r="H918" i="6"/>
  <c r="H919" i="6"/>
  <c r="H920" i="6"/>
  <c r="H921" i="6"/>
  <c r="H922" i="6"/>
  <c r="H923" i="6"/>
  <c r="H924" i="6"/>
  <c r="H925" i="6"/>
  <c r="H926" i="6"/>
  <c r="H403" i="6"/>
  <c r="H404" i="6"/>
  <c r="H405" i="6"/>
  <c r="H406" i="6"/>
  <c r="H407" i="6"/>
  <c r="H408" i="6"/>
  <c r="H367" i="6"/>
  <c r="H369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9" i="6"/>
  <c r="H360" i="6"/>
  <c r="H361" i="6"/>
  <c r="H362" i="6"/>
  <c r="H358" i="6"/>
  <c r="H365" i="6"/>
  <c r="H366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5" i="6"/>
  <c r="H277" i="6"/>
  <c r="H278" i="6"/>
  <c r="H279" i="6"/>
  <c r="H280" i="6"/>
  <c r="H281" i="6"/>
  <c r="H282" i="6"/>
  <c r="H283" i="6"/>
  <c r="H284" i="6"/>
  <c r="H285" i="6"/>
  <c r="H287" i="6"/>
  <c r="H288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8" i="6"/>
  <c r="H210" i="6"/>
  <c r="H196" i="6"/>
  <c r="H313" i="6"/>
  <c r="H312" i="6"/>
  <c r="H311" i="6"/>
  <c r="H310" i="6"/>
  <c r="H309" i="6"/>
  <c r="H214" i="6"/>
  <c r="H216" i="6"/>
  <c r="H217" i="6"/>
  <c r="H218" i="6"/>
  <c r="H220" i="6"/>
  <c r="H221" i="6"/>
  <c r="H222" i="6"/>
  <c r="H223" i="6"/>
  <c r="H230" i="6"/>
  <c r="H231" i="6"/>
  <c r="H232" i="6"/>
  <c r="H233" i="6"/>
  <c r="H234" i="6"/>
  <c r="H235" i="6"/>
  <c r="H237" i="6"/>
  <c r="H238" i="6"/>
  <c r="H240" i="6"/>
  <c r="H241" i="6"/>
  <c r="H243" i="6"/>
  <c r="H244" i="6"/>
  <c r="H245" i="6"/>
  <c r="H246" i="6"/>
  <c r="H247" i="6"/>
  <c r="H248" i="6"/>
  <c r="H249" i="6"/>
  <c r="H250" i="6"/>
  <c r="H251" i="6"/>
  <c r="H252" i="6"/>
  <c r="H254" i="6"/>
  <c r="H253" i="6"/>
  <c r="H255" i="6"/>
  <c r="H256" i="6"/>
  <c r="H257" i="6"/>
  <c r="F258" i="6" a="1"/>
  <c r="F258" i="6" s="1"/>
  <c r="I258" i="6" s="1"/>
  <c r="F257" i="6" a="1"/>
  <c r="F257" i="6" s="1"/>
  <c r="I257" i="6" s="1"/>
  <c r="F256" i="6" a="1"/>
  <c r="F256" i="6" s="1"/>
  <c r="I256" i="6" s="1"/>
  <c r="F255" i="6" a="1"/>
  <c r="F255" i="6" s="1"/>
  <c r="I255" i="6" s="1"/>
  <c r="F253" i="6" a="1"/>
  <c r="F253" i="6" s="1"/>
  <c r="I253" i="6" s="1"/>
  <c r="F254" i="6" a="1"/>
  <c r="F254" i="6" s="1"/>
  <c r="I254" i="6" s="1"/>
  <c r="F252" i="6" a="1"/>
  <c r="F252" i="6" s="1"/>
  <c r="I252" i="6" s="1"/>
  <c r="F251" i="6" a="1"/>
  <c r="F251" i="6" s="1"/>
  <c r="I251" i="6" s="1"/>
  <c r="F250" i="6" a="1"/>
  <c r="F250" i="6" s="1"/>
  <c r="I250" i="6" s="1"/>
  <c r="F249" i="6" a="1"/>
  <c r="F249" i="6" s="1"/>
  <c r="I249" i="6" s="1"/>
  <c r="F248" i="6" a="1"/>
  <c r="F248" i="6" s="1"/>
  <c r="I248" i="6" s="1"/>
  <c r="F247" i="6" a="1"/>
  <c r="F247" i="6" s="1"/>
  <c r="I247" i="6" s="1"/>
  <c r="F246" i="6" a="1"/>
  <c r="F246" i="6" s="1"/>
  <c r="I246" i="6" s="1"/>
  <c r="F245" i="6" a="1"/>
  <c r="F245" i="6" s="1"/>
  <c r="I245" i="6" s="1"/>
  <c r="F244" i="6" a="1"/>
  <c r="F244" i="6" s="1"/>
  <c r="I244" i="6" s="1"/>
  <c r="F243" i="6" a="1"/>
  <c r="F243" i="6" s="1"/>
  <c r="I243" i="6" s="1"/>
  <c r="F241" i="6" a="1"/>
  <c r="F241" i="6" s="1"/>
  <c r="I241" i="6" s="1"/>
  <c r="F240" i="6" a="1"/>
  <c r="F240" i="6" s="1"/>
  <c r="I240" i="6" s="1"/>
  <c r="F238" i="6" a="1"/>
  <c r="F238" i="6" s="1"/>
  <c r="I238" i="6" s="1"/>
  <c r="F237" i="6" a="1"/>
  <c r="F237" i="6" s="1"/>
  <c r="I237" i="6" s="1"/>
  <c r="F235" i="6" a="1"/>
  <c r="F235" i="6" s="1"/>
  <c r="I235" i="6" s="1"/>
  <c r="F234" i="6" a="1"/>
  <c r="F234" i="6" s="1"/>
  <c r="I234" i="6" s="1"/>
  <c r="F233" i="6" a="1"/>
  <c r="F233" i="6" s="1"/>
  <c r="I233" i="6" s="1"/>
  <c r="F232" i="6" a="1"/>
  <c r="F232" i="6" s="1"/>
  <c r="I232" i="6" s="1"/>
  <c r="F231" i="6" a="1"/>
  <c r="F231" i="6" s="1"/>
  <c r="I231" i="6" s="1"/>
  <c r="F230" i="6" a="1"/>
  <c r="F230" i="6" s="1"/>
  <c r="I230" i="6" s="1"/>
  <c r="F223" i="6" a="1"/>
  <c r="F223" i="6" s="1"/>
  <c r="I223" i="6" s="1"/>
  <c r="F222" i="6" a="1"/>
  <c r="F222" i="6" s="1"/>
  <c r="I222" i="6" s="1"/>
  <c r="F221" i="6" a="1"/>
  <c r="F221" i="6" s="1"/>
  <c r="I221" i="6" s="1"/>
  <c r="F220" i="6" a="1"/>
  <c r="F220" i="6" s="1"/>
  <c r="I220" i="6" s="1"/>
  <c r="F218" i="6" a="1"/>
  <c r="F218" i="6" s="1"/>
  <c r="I218" i="6" s="1"/>
  <c r="F217" i="6" a="1"/>
  <c r="F217" i="6" s="1"/>
  <c r="I217" i="6" s="1"/>
  <c r="F216" i="6" a="1"/>
  <c r="F216" i="6" s="1"/>
  <c r="I216" i="6" s="1"/>
  <c r="F214" i="6" a="1"/>
  <c r="F214" i="6" s="1"/>
  <c r="I214" i="6" s="1"/>
  <c r="F210" i="6" a="1"/>
  <c r="F210" i="6" s="1"/>
  <c r="I210" i="6" s="1"/>
  <c r="F196" i="6" a="1"/>
  <c r="F196" i="6" s="1"/>
  <c r="I196" i="6" s="1"/>
  <c r="F313" i="6" a="1"/>
  <c r="F313" i="6" s="1"/>
  <c r="I313" i="6" s="1"/>
  <c r="F312" i="6" a="1"/>
  <c r="F312" i="6" s="1"/>
  <c r="I312" i="6" s="1"/>
  <c r="F311" i="6" a="1"/>
  <c r="F311" i="6" s="1"/>
  <c r="I311" i="6" s="1"/>
  <c r="F310" i="6" a="1"/>
  <c r="F310" i="6" s="1"/>
  <c r="I310" i="6" s="1"/>
  <c r="F309" i="6" a="1"/>
  <c r="F309" i="6" s="1"/>
  <c r="I309" i="6" s="1"/>
  <c r="F308" i="6" a="1"/>
  <c r="F308" i="6" s="1"/>
  <c r="I308" i="6" s="1"/>
  <c r="F306" i="6" a="1"/>
  <c r="F306" i="6" s="1"/>
  <c r="I306" i="6" s="1"/>
  <c r="F305" i="6" a="1"/>
  <c r="F305" i="6" s="1"/>
  <c r="I305" i="6" s="1"/>
  <c r="F304" i="6" a="1"/>
  <c r="F304" i="6" s="1"/>
  <c r="I304" i="6" s="1"/>
  <c r="F303" i="6" a="1"/>
  <c r="F303" i="6" s="1"/>
  <c r="I303" i="6" s="1"/>
  <c r="F302" i="6" a="1"/>
  <c r="F302" i="6" s="1"/>
  <c r="I302" i="6" s="1"/>
  <c r="F301" i="6" a="1"/>
  <c r="F301" i="6" s="1"/>
  <c r="I301" i="6" s="1"/>
  <c r="F300" i="6" a="1"/>
  <c r="F300" i="6" s="1"/>
  <c r="I300" i="6" s="1"/>
  <c r="F299" i="6" a="1"/>
  <c r="F299" i="6" s="1"/>
  <c r="I299" i="6" s="1"/>
  <c r="F298" i="6" a="1"/>
  <c r="F298" i="6" s="1"/>
  <c r="I298" i="6" s="1"/>
  <c r="F297" i="6" a="1"/>
  <c r="F297" i="6" s="1"/>
  <c r="I297" i="6" s="1"/>
  <c r="F296" i="6" a="1"/>
  <c r="F296" i="6" s="1"/>
  <c r="I296" i="6" s="1"/>
  <c r="F295" i="6" a="1"/>
  <c r="F295" i="6" s="1"/>
  <c r="I295" i="6" s="1"/>
  <c r="F294" i="6" a="1"/>
  <c r="F294" i="6" s="1"/>
  <c r="I294" i="6" s="1"/>
  <c r="F293" i="6" a="1"/>
  <c r="F293" i="6" s="1"/>
  <c r="I293" i="6" s="1"/>
  <c r="F292" i="6" a="1"/>
  <c r="F292" i="6" s="1"/>
  <c r="I292" i="6" s="1"/>
  <c r="F291" i="6" a="1"/>
  <c r="F291" i="6" s="1"/>
  <c r="I291" i="6" s="1"/>
  <c r="F290" i="6" a="1"/>
  <c r="F290" i="6" s="1"/>
  <c r="I290" i="6" s="1"/>
  <c r="F288" i="6" a="1"/>
  <c r="F288" i="6" s="1"/>
  <c r="I288" i="6" s="1"/>
  <c r="F287" i="6" a="1"/>
  <c r="F287" i="6" s="1"/>
  <c r="I287" i="6" s="1"/>
  <c r="F285" i="6" a="1"/>
  <c r="F285" i="6" s="1"/>
  <c r="I285" i="6" s="1"/>
  <c r="F284" i="6" a="1"/>
  <c r="F284" i="6" s="1"/>
  <c r="I284" i="6" s="1"/>
  <c r="F283" i="6" a="1"/>
  <c r="F283" i="6" s="1"/>
  <c r="I283" i="6" s="1"/>
  <c r="F282" i="6" a="1"/>
  <c r="F282" i="6" s="1"/>
  <c r="I282" i="6" s="1"/>
  <c r="F281" i="6" a="1"/>
  <c r="F281" i="6" s="1"/>
  <c r="I281" i="6" s="1"/>
  <c r="F280" i="6" a="1"/>
  <c r="F280" i="6" s="1"/>
  <c r="I280" i="6" s="1"/>
  <c r="F279" i="6" a="1"/>
  <c r="F279" i="6" s="1"/>
  <c r="I279" i="6" s="1"/>
  <c r="F278" i="6" a="1"/>
  <c r="F278" i="6" s="1"/>
  <c r="I278" i="6" s="1"/>
  <c r="F277" i="6" a="1"/>
  <c r="F277" i="6" s="1"/>
  <c r="I277" i="6" s="1"/>
  <c r="F275" i="6" a="1"/>
  <c r="F275" i="6" s="1"/>
  <c r="I275" i="6" s="1"/>
  <c r="F273" i="6" a="1"/>
  <c r="F273" i="6" s="1"/>
  <c r="I273" i="6" s="1"/>
  <c r="F272" i="6" a="1"/>
  <c r="F272" i="6" s="1"/>
  <c r="I272" i="6" s="1"/>
  <c r="F271" i="6" a="1"/>
  <c r="F271" i="6" s="1"/>
  <c r="I271" i="6" s="1"/>
  <c r="F270" i="6" a="1"/>
  <c r="F270" i="6" s="1"/>
  <c r="I270" i="6" s="1"/>
  <c r="F269" i="6" a="1"/>
  <c r="F269" i="6" s="1"/>
  <c r="I269" i="6" s="1"/>
  <c r="F268" i="6" a="1"/>
  <c r="F268" i="6" s="1"/>
  <c r="I268" i="6" s="1"/>
  <c r="F267" i="6" a="1"/>
  <c r="F267" i="6" s="1"/>
  <c r="I267" i="6" s="1"/>
  <c r="F266" i="6" a="1"/>
  <c r="F266" i="6" s="1"/>
  <c r="I266" i="6" s="1"/>
  <c r="F265" i="6" a="1"/>
  <c r="F265" i="6" s="1"/>
  <c r="I265" i="6" s="1"/>
  <c r="F264" i="6" a="1"/>
  <c r="F264" i="6" s="1"/>
  <c r="I264" i="6" s="1"/>
  <c r="F263" i="6" a="1"/>
  <c r="F263" i="6" s="1"/>
  <c r="I263" i="6" s="1"/>
  <c r="F262" i="6" a="1"/>
  <c r="F262" i="6" s="1"/>
  <c r="I262" i="6" s="1"/>
  <c r="F261" i="6" a="1"/>
  <c r="F261" i="6" s="1"/>
  <c r="I261" i="6" s="1"/>
  <c r="F260" i="6" a="1"/>
  <c r="F260" i="6" s="1"/>
  <c r="I260" i="6" s="1"/>
  <c r="F259" i="6" a="1"/>
  <c r="F259" i="6" s="1"/>
  <c r="I259" i="6" s="1"/>
  <c r="F366" i="6" a="1"/>
  <c r="F366" i="6" s="1"/>
  <c r="I366" i="6" s="1"/>
  <c r="F365" i="6" a="1"/>
  <c r="F365" i="6" s="1"/>
  <c r="I365" i="6" s="1"/>
  <c r="F358" i="6" a="1"/>
  <c r="F358" i="6" s="1"/>
  <c r="I358" i="6" s="1"/>
  <c r="F362" i="6" a="1"/>
  <c r="F362" i="6" s="1"/>
  <c r="I362" i="6" s="1"/>
  <c r="F361" i="6" a="1"/>
  <c r="F361" i="6" s="1"/>
  <c r="I361" i="6" s="1"/>
  <c r="F360" i="6" a="1"/>
  <c r="F360" i="6" s="1"/>
  <c r="I360" i="6" s="1"/>
  <c r="F359" i="6" a="1"/>
  <c r="F359" i="6" s="1"/>
  <c r="I359" i="6" s="1"/>
  <c r="F357" i="6" a="1"/>
  <c r="F357" i="6" s="1"/>
  <c r="I357" i="6" s="1"/>
  <c r="F356" i="6" a="1"/>
  <c r="F356" i="6" s="1"/>
  <c r="I356" i="6" s="1"/>
  <c r="F355" i="6" a="1"/>
  <c r="F355" i="6" s="1"/>
  <c r="I355" i="6" s="1"/>
  <c r="F354" i="6" a="1"/>
  <c r="F354" i="6" s="1"/>
  <c r="I354" i="6" s="1"/>
  <c r="F353" i="6" a="1"/>
  <c r="F353" i="6" s="1"/>
  <c r="I353" i="6" s="1"/>
  <c r="F352" i="6" a="1"/>
  <c r="F352" i="6" s="1"/>
  <c r="I352" i="6" s="1"/>
  <c r="F351" i="6" a="1"/>
  <c r="F351" i="6" s="1"/>
  <c r="I351" i="6" s="1"/>
  <c r="F350" i="6" a="1"/>
  <c r="F350" i="6" s="1"/>
  <c r="I350" i="6" s="1"/>
  <c r="F349" i="6" a="1"/>
  <c r="F349" i="6" s="1"/>
  <c r="I349" i="6" s="1"/>
  <c r="F348" i="6" a="1"/>
  <c r="F348" i="6" s="1"/>
  <c r="I348" i="6" s="1"/>
  <c r="F347" i="6" a="1"/>
  <c r="F347" i="6" s="1"/>
  <c r="I347" i="6" s="1"/>
  <c r="F346" i="6" a="1"/>
  <c r="F346" i="6" s="1"/>
  <c r="I346" i="6" s="1"/>
  <c r="F344" i="6" a="1"/>
  <c r="F344" i="6" s="1"/>
  <c r="I344" i="6" s="1"/>
  <c r="F343" i="6" a="1"/>
  <c r="F343" i="6" s="1"/>
  <c r="I343" i="6" s="1"/>
  <c r="F342" i="6" a="1"/>
  <c r="F342" i="6" s="1"/>
  <c r="I342" i="6" s="1"/>
  <c r="F341" i="6" a="1"/>
  <c r="F341" i="6" s="1"/>
  <c r="I341" i="6" s="1"/>
  <c r="F340" i="6" a="1"/>
  <c r="F340" i="6" s="1"/>
  <c r="I340" i="6" s="1"/>
  <c r="F339" i="6" a="1"/>
  <c r="F339" i="6" s="1"/>
  <c r="I339" i="6" s="1"/>
  <c r="F338" i="6" a="1"/>
  <c r="F338" i="6" s="1"/>
  <c r="I338" i="6" s="1"/>
  <c r="F337" i="6" a="1"/>
  <c r="F337" i="6" s="1"/>
  <c r="I337" i="6" s="1"/>
  <c r="F336" i="6" a="1"/>
  <c r="F336" i="6" s="1"/>
  <c r="I336" i="6" s="1"/>
  <c r="F335" i="6" a="1"/>
  <c r="F335" i="6" s="1"/>
  <c r="I335" i="6" s="1"/>
  <c r="F334" i="6" a="1"/>
  <c r="F334" i="6" s="1"/>
  <c r="I334" i="6" s="1"/>
  <c r="F333" i="6" a="1"/>
  <c r="F333" i="6" s="1"/>
  <c r="I333" i="6" s="1"/>
  <c r="F332" i="6" a="1"/>
  <c r="F332" i="6" s="1"/>
  <c r="I332" i="6" s="1"/>
  <c r="F331" i="6" a="1"/>
  <c r="F331" i="6" s="1"/>
  <c r="I331" i="6" s="1"/>
  <c r="F330" i="6" a="1"/>
  <c r="F330" i="6" s="1"/>
  <c r="I330" i="6" s="1"/>
  <c r="F329" i="6" a="1"/>
  <c r="F329" i="6" s="1"/>
  <c r="I329" i="6" s="1"/>
  <c r="F328" i="6" a="1"/>
  <c r="F328" i="6" s="1"/>
  <c r="I328" i="6" s="1"/>
  <c r="F327" i="6" a="1"/>
  <c r="F327" i="6" s="1"/>
  <c r="I327" i="6" s="1"/>
  <c r="F326" i="6" a="1"/>
  <c r="F326" i="6" s="1"/>
  <c r="I326" i="6" s="1"/>
  <c r="F325" i="6" a="1"/>
  <c r="F325" i="6" s="1"/>
  <c r="I325" i="6" s="1"/>
  <c r="F324" i="6" a="1"/>
  <c r="F324" i="6" s="1"/>
  <c r="I324" i="6" s="1"/>
  <c r="F323" i="6" a="1"/>
  <c r="F323" i="6" s="1"/>
  <c r="I323" i="6" s="1"/>
  <c r="F322" i="6" a="1"/>
  <c r="F322" i="6" s="1"/>
  <c r="I322" i="6" s="1"/>
  <c r="F321" i="6" a="1"/>
  <c r="F321" i="6" s="1"/>
  <c r="I321" i="6" s="1"/>
  <c r="F320" i="6" a="1"/>
  <c r="F320" i="6" s="1"/>
  <c r="I320" i="6" s="1"/>
  <c r="F319" i="6" a="1"/>
  <c r="F319" i="6" s="1"/>
  <c r="I319" i="6" s="1"/>
  <c r="F318" i="6" a="1"/>
  <c r="F318" i="6" s="1"/>
  <c r="I318" i="6" s="1"/>
  <c r="F317" i="6" a="1"/>
  <c r="F317" i="6" s="1"/>
  <c r="I317" i="6" s="1"/>
  <c r="F316" i="6" a="1"/>
  <c r="F316" i="6" s="1"/>
  <c r="I316" i="6" s="1"/>
  <c r="F315" i="6" a="1"/>
  <c r="F315" i="6" s="1"/>
  <c r="I315" i="6" s="1"/>
  <c r="F314" i="6" a="1"/>
  <c r="F314" i="6" s="1"/>
  <c r="I314" i="6" s="1"/>
  <c r="F369" i="6" a="1"/>
  <c r="F369" i="6" s="1"/>
  <c r="I369" i="6" s="1"/>
  <c r="F367" i="6" a="1"/>
  <c r="F367" i="6" s="1"/>
  <c r="I367" i="6" s="1"/>
  <c r="F408" i="6" a="1"/>
  <c r="F408" i="6" s="1"/>
  <c r="I408" i="6" s="1"/>
  <c r="F407" i="6" a="1"/>
  <c r="F407" i="6" s="1"/>
  <c r="I407" i="6" s="1"/>
  <c r="F406" i="6" a="1"/>
  <c r="F406" i="6" s="1"/>
  <c r="I406" i="6" s="1"/>
  <c r="F405" i="6" a="1"/>
  <c r="F405" i="6" s="1"/>
  <c r="I405" i="6" s="1"/>
  <c r="F404" i="6" a="1"/>
  <c r="F404" i="6" s="1"/>
  <c r="I404" i="6" s="1"/>
  <c r="F403" i="6" a="1"/>
  <c r="F403" i="6" s="1"/>
  <c r="I403" i="6" s="1"/>
  <c r="F402" i="6" a="1"/>
  <c r="F402" i="6" s="1"/>
  <c r="I402" i="6" s="1"/>
  <c r="F401" i="6" a="1"/>
  <c r="F401" i="6" s="1"/>
  <c r="I401" i="6" s="1"/>
  <c r="F400" i="6" a="1"/>
  <c r="F400" i="6" s="1"/>
  <c r="I400" i="6" s="1"/>
  <c r="F399" i="6" a="1"/>
  <c r="F399" i="6" s="1"/>
  <c r="I399" i="6" s="1"/>
  <c r="F398" i="6" a="1"/>
  <c r="F398" i="6" s="1"/>
  <c r="I398" i="6" s="1"/>
  <c r="F397" i="6" a="1"/>
  <c r="F397" i="6" s="1"/>
  <c r="I397" i="6" s="1"/>
  <c r="F396" i="6" a="1"/>
  <c r="F396" i="6" s="1"/>
  <c r="I396" i="6" s="1"/>
  <c r="F395" i="6" a="1"/>
  <c r="F395" i="6" s="1"/>
  <c r="I395" i="6" s="1"/>
  <c r="F394" i="6" a="1"/>
  <c r="F394" i="6" s="1"/>
  <c r="I394" i="6" s="1"/>
  <c r="F393" i="6" a="1"/>
  <c r="F393" i="6" s="1"/>
  <c r="I393" i="6" s="1"/>
  <c r="F392" i="6" a="1"/>
  <c r="F392" i="6" s="1"/>
  <c r="I392" i="6" s="1"/>
  <c r="F391" i="6" a="1"/>
  <c r="F391" i="6" s="1"/>
  <c r="I391" i="6" s="1"/>
  <c r="F390" i="6" a="1"/>
  <c r="F390" i="6" s="1"/>
  <c r="I390" i="6" s="1"/>
  <c r="F389" i="6" a="1"/>
  <c r="F389" i="6" s="1"/>
  <c r="I389" i="6" s="1"/>
  <c r="F388" i="6" a="1"/>
  <c r="F388" i="6" s="1"/>
  <c r="I388" i="6" s="1"/>
  <c r="F387" i="6" a="1"/>
  <c r="F387" i="6" s="1"/>
  <c r="I387" i="6" s="1"/>
  <c r="F386" i="6" a="1"/>
  <c r="F386" i="6" s="1"/>
  <c r="I386" i="6" s="1"/>
  <c r="F385" i="6" a="1"/>
  <c r="F385" i="6" s="1"/>
  <c r="I385" i="6" s="1"/>
  <c r="F383" i="6" a="1"/>
  <c r="F383" i="6" s="1"/>
  <c r="I383" i="6" s="1"/>
  <c r="F382" i="6" a="1"/>
  <c r="F382" i="6" s="1"/>
  <c r="I382" i="6" s="1"/>
  <c r="F378" i="6" a="1"/>
  <c r="F378" i="6" s="1"/>
  <c r="I378" i="6" s="1"/>
  <c r="F376" i="6" a="1"/>
  <c r="F376" i="6" s="1"/>
  <c r="I376" i="6" s="1"/>
  <c r="F375" i="6" a="1"/>
  <c r="F375" i="6" s="1"/>
  <c r="I375" i="6" s="1"/>
  <c r="F374" i="6" a="1"/>
  <c r="F374" i="6" s="1"/>
  <c r="I374" i="6" s="1"/>
  <c r="F373" i="6" a="1"/>
  <c r="F373" i="6" s="1"/>
  <c r="I373" i="6" s="1"/>
  <c r="F372" i="6" a="1"/>
  <c r="F372" i="6" s="1"/>
  <c r="I372" i="6" s="1"/>
  <c r="F371" i="6" a="1"/>
  <c r="F371" i="6" s="1"/>
  <c r="I371" i="6" s="1"/>
  <c r="F370" i="6" a="1"/>
  <c r="F370" i="6" s="1"/>
  <c r="I370" i="6" s="1"/>
  <c r="F368" i="6" a="1"/>
  <c r="F368" i="6" s="1"/>
  <c r="I368" i="6" s="1"/>
  <c r="F364" i="6" a="1"/>
  <c r="F364" i="6" s="1"/>
  <c r="I364" i="6" s="1"/>
  <c r="F363" i="6" a="1"/>
  <c r="F363" i="6" s="1"/>
  <c r="I363" i="6" s="1"/>
  <c r="F307" i="6" a="1"/>
  <c r="F307" i="6" s="1"/>
  <c r="I307" i="6" s="1"/>
  <c r="F276" i="6" a="1"/>
  <c r="F276" i="6" s="1"/>
  <c r="I276" i="6" s="1"/>
  <c r="F457" i="6" a="1"/>
  <c r="F457" i="6" s="1"/>
  <c r="I457" i="6" s="1"/>
  <c r="F456" i="6" a="1"/>
  <c r="F456" i="6" s="1"/>
  <c r="I456" i="6" s="1"/>
  <c r="F455" i="6" a="1"/>
  <c r="F455" i="6" s="1"/>
  <c r="I455" i="6" s="1"/>
  <c r="F454" i="6" a="1"/>
  <c r="F454" i="6" s="1"/>
  <c r="I454" i="6" s="1"/>
  <c r="F453" i="6" a="1"/>
  <c r="F453" i="6" s="1"/>
  <c r="I453" i="6" s="1"/>
  <c r="F452" i="6" a="1"/>
  <c r="F452" i="6" s="1"/>
  <c r="I452" i="6" s="1"/>
  <c r="F451" i="6" a="1"/>
  <c r="F451" i="6" s="1"/>
  <c r="I451" i="6" s="1"/>
  <c r="F450" i="6" a="1"/>
  <c r="F450" i="6" s="1"/>
  <c r="I450" i="6" s="1"/>
  <c r="F449" i="6" a="1"/>
  <c r="F449" i="6" s="1"/>
  <c r="I449" i="6" s="1"/>
  <c r="F448" i="6" a="1"/>
  <c r="F448" i="6" s="1"/>
  <c r="I448" i="6" s="1"/>
  <c r="F447" i="6" a="1"/>
  <c r="F447" i="6" s="1"/>
  <c r="I447" i="6" s="1"/>
  <c r="F446" i="6" a="1"/>
  <c r="F446" i="6" s="1"/>
  <c r="I446" i="6" s="1"/>
  <c r="F445" i="6" a="1"/>
  <c r="F445" i="6" s="1"/>
  <c r="I445" i="6" s="1"/>
  <c r="F444" i="6" a="1"/>
  <c r="F444" i="6" s="1"/>
  <c r="I444" i="6" s="1"/>
  <c r="F443" i="6" a="1"/>
  <c r="F443" i="6" s="1"/>
  <c r="I443" i="6" s="1"/>
  <c r="F442" i="6" a="1"/>
  <c r="F442" i="6" s="1"/>
  <c r="I442" i="6" s="1"/>
  <c r="F441" i="6" a="1"/>
  <c r="F441" i="6" s="1"/>
  <c r="I441" i="6" s="1"/>
  <c r="F439" i="6" a="1"/>
  <c r="F439" i="6" s="1"/>
  <c r="I439" i="6" s="1"/>
  <c r="F438" i="6" a="1"/>
  <c r="F438" i="6" s="1"/>
  <c r="I438" i="6" s="1"/>
  <c r="F437" i="6" a="1"/>
  <c r="F437" i="6" s="1"/>
  <c r="I437" i="6" s="1"/>
  <c r="F436" i="6" a="1"/>
  <c r="F436" i="6" s="1"/>
  <c r="I436" i="6" s="1"/>
  <c r="F435" i="6" a="1"/>
  <c r="F435" i="6" s="1"/>
  <c r="I435" i="6" s="1"/>
  <c r="F440" i="6" a="1"/>
  <c r="F440" i="6" s="1"/>
  <c r="I440" i="6" s="1"/>
  <c r="F434" i="6" a="1"/>
  <c r="F434" i="6" s="1"/>
  <c r="I434" i="6" s="1"/>
  <c r="F433" i="6" a="1"/>
  <c r="F433" i="6" s="1"/>
  <c r="I433" i="6" s="1"/>
  <c r="F432" i="6" a="1"/>
  <c r="F432" i="6" s="1"/>
  <c r="I432" i="6" s="1"/>
  <c r="F431" i="6" a="1"/>
  <c r="F431" i="6" s="1"/>
  <c r="I431" i="6" s="1"/>
  <c r="F430" i="6" a="1"/>
  <c r="F430" i="6" s="1"/>
  <c r="I430" i="6" s="1"/>
  <c r="F429" i="6" a="1"/>
  <c r="F429" i="6" s="1"/>
  <c r="I429" i="6" s="1"/>
  <c r="F428" i="6" a="1"/>
  <c r="F428" i="6" s="1"/>
  <c r="I428" i="6" s="1"/>
  <c r="F427" i="6" a="1"/>
  <c r="F427" i="6" s="1"/>
  <c r="I427" i="6" s="1"/>
  <c r="F426" i="6" a="1"/>
  <c r="F426" i="6" s="1"/>
  <c r="I426" i="6" s="1"/>
  <c r="F425" i="6" a="1"/>
  <c r="F425" i="6" s="1"/>
  <c r="I425" i="6" s="1"/>
  <c r="F424" i="6" a="1"/>
  <c r="F424" i="6" s="1"/>
  <c r="I424" i="6" s="1"/>
  <c r="F423" i="6" a="1"/>
  <c r="F423" i="6" s="1"/>
  <c r="I423" i="6" s="1"/>
  <c r="F422" i="6" a="1"/>
  <c r="F422" i="6" s="1"/>
  <c r="I422" i="6" s="1"/>
  <c r="F421" i="6" a="1"/>
  <c r="F421" i="6" s="1"/>
  <c r="I421" i="6" s="1"/>
  <c r="F420" i="6" a="1"/>
  <c r="F420" i="6" s="1"/>
  <c r="I420" i="6" s="1"/>
  <c r="F419" i="6" a="1"/>
  <c r="F419" i="6" s="1"/>
  <c r="I419" i="6" s="1"/>
  <c r="F418" i="6" a="1"/>
  <c r="F418" i="6" s="1"/>
  <c r="I418" i="6" s="1"/>
  <c r="F417" i="6" a="1"/>
  <c r="F417" i="6" s="1"/>
  <c r="I417" i="6" s="1"/>
  <c r="F416" i="6" a="1"/>
  <c r="F416" i="6" s="1"/>
  <c r="I416" i="6" s="1"/>
  <c r="F415" i="6" a="1"/>
  <c r="F415" i="6" s="1"/>
  <c r="I415" i="6" s="1"/>
  <c r="F414" i="6" a="1"/>
  <c r="F414" i="6" s="1"/>
  <c r="I414" i="6" s="1"/>
  <c r="F413" i="6" a="1"/>
  <c r="F413" i="6" s="1"/>
  <c r="I413" i="6" s="1"/>
  <c r="F412" i="6" a="1"/>
  <c r="F412" i="6" s="1"/>
  <c r="I412" i="6" s="1"/>
  <c r="F411" i="6" a="1"/>
  <c r="F411" i="6" s="1"/>
  <c r="I411" i="6" s="1"/>
  <c r="F410" i="6" a="1"/>
  <c r="F410" i="6" s="1"/>
  <c r="I410" i="6" s="1"/>
  <c r="F409" i="6" a="1"/>
  <c r="F409" i="6" s="1"/>
  <c r="I409" i="6" s="1"/>
  <c r="F522" i="6" a="1"/>
  <c r="F522" i="6" s="1"/>
  <c r="I522" i="6" s="1"/>
  <c r="F521" i="6" a="1"/>
  <c r="F521" i="6" s="1"/>
  <c r="I521" i="6" s="1"/>
  <c r="F520" i="6" a="1"/>
  <c r="F520" i="6" s="1"/>
  <c r="I520" i="6" s="1"/>
  <c r="F519" i="6" a="1"/>
  <c r="F519" i="6" s="1"/>
  <c r="I519" i="6" s="1"/>
  <c r="F517" i="6" a="1"/>
  <c r="F517" i="6" s="1"/>
  <c r="I517" i="6" s="1"/>
  <c r="F514" i="6" a="1"/>
  <c r="F514" i="6" s="1"/>
  <c r="I514" i="6" s="1"/>
  <c r="F513" i="6" a="1"/>
  <c r="F513" i="6" s="1"/>
  <c r="I513" i="6" s="1"/>
  <c r="F512" i="6" a="1"/>
  <c r="F512" i="6" s="1"/>
  <c r="I512" i="6" s="1"/>
  <c r="F511" i="6" a="1"/>
  <c r="F511" i="6" s="1"/>
  <c r="I511" i="6" s="1"/>
  <c r="F510" i="6" a="1"/>
  <c r="F510" i="6" s="1"/>
  <c r="I510" i="6" s="1"/>
  <c r="F509" i="6" a="1"/>
  <c r="F509" i="6" s="1"/>
  <c r="I509" i="6" s="1"/>
  <c r="F508" i="6" a="1"/>
  <c r="F508" i="6" s="1"/>
  <c r="I508" i="6" s="1"/>
  <c r="F507" i="6" a="1"/>
  <c r="F507" i="6" s="1"/>
  <c r="I507" i="6" s="1"/>
  <c r="F505" i="6" a="1"/>
  <c r="F505" i="6" s="1"/>
  <c r="I505" i="6" s="1"/>
  <c r="F504" i="6" a="1"/>
  <c r="F504" i="6" s="1"/>
  <c r="I504" i="6" s="1"/>
  <c r="F497" i="6" a="1"/>
  <c r="F497" i="6" s="1"/>
  <c r="I497" i="6" s="1"/>
  <c r="F496" i="6" a="1"/>
  <c r="F496" i="6" s="1"/>
  <c r="I496" i="6" s="1"/>
  <c r="F495" i="6" a="1"/>
  <c r="F495" i="6" s="1"/>
  <c r="I495" i="6" s="1"/>
  <c r="F494" i="6" a="1"/>
  <c r="F494" i="6" s="1"/>
  <c r="I494" i="6" s="1"/>
  <c r="F493" i="6" a="1"/>
  <c r="F493" i="6" s="1"/>
  <c r="I493" i="6" s="1"/>
  <c r="F492" i="6" a="1"/>
  <c r="F492" i="6" s="1"/>
  <c r="I492" i="6" s="1"/>
  <c r="F491" i="6" a="1"/>
  <c r="F491" i="6" s="1"/>
  <c r="I491" i="6" s="1"/>
  <c r="F487" i="6" a="1"/>
  <c r="F487" i="6" s="1"/>
  <c r="I487" i="6" s="1"/>
  <c r="F486" i="6" a="1"/>
  <c r="F486" i="6" s="1"/>
  <c r="I486" i="6" s="1"/>
  <c r="F485" i="6" a="1"/>
  <c r="F485" i="6" s="1"/>
  <c r="I485" i="6" s="1"/>
  <c r="F484" i="6" a="1"/>
  <c r="F484" i="6" s="1"/>
  <c r="I484" i="6" s="1"/>
  <c r="F483" i="6" a="1"/>
  <c r="F483" i="6" s="1"/>
  <c r="I483" i="6" s="1"/>
  <c r="F482" i="6" a="1"/>
  <c r="F482" i="6" s="1"/>
  <c r="I482" i="6" s="1"/>
  <c r="F481" i="6" a="1"/>
  <c r="F481" i="6" s="1"/>
  <c r="I481" i="6" s="1"/>
  <c r="F480" i="6" a="1"/>
  <c r="F480" i="6" s="1"/>
  <c r="I480" i="6" s="1"/>
  <c r="F479" i="6" a="1"/>
  <c r="F479" i="6" s="1"/>
  <c r="I479" i="6" s="1"/>
  <c r="F478" i="6" a="1"/>
  <c r="F478" i="6" s="1"/>
  <c r="I478" i="6" s="1"/>
  <c r="F477" i="6" a="1"/>
  <c r="F477" i="6" s="1"/>
  <c r="I477" i="6" s="1"/>
  <c r="F476" i="6" a="1"/>
  <c r="F476" i="6" s="1"/>
  <c r="I476" i="6" s="1"/>
  <c r="F475" i="6" a="1"/>
  <c r="F475" i="6" s="1"/>
  <c r="I475" i="6" s="1"/>
  <c r="F474" i="6" a="1"/>
  <c r="F474" i="6" s="1"/>
  <c r="I474" i="6" s="1"/>
  <c r="F473" i="6" a="1"/>
  <c r="F473" i="6" s="1"/>
  <c r="I473" i="6" s="1"/>
  <c r="F472" i="6" a="1"/>
  <c r="F472" i="6" s="1"/>
  <c r="I472" i="6" s="1"/>
  <c r="F471" i="6" a="1"/>
  <c r="F471" i="6" s="1"/>
  <c r="I471" i="6" s="1"/>
  <c r="F470" i="6" a="1"/>
  <c r="F470" i="6" s="1"/>
  <c r="I470" i="6" s="1"/>
  <c r="F469" i="6" a="1"/>
  <c r="F469" i="6" s="1"/>
  <c r="I469" i="6" s="1"/>
  <c r="F468" i="6" a="1"/>
  <c r="F468" i="6" s="1"/>
  <c r="I468" i="6" s="1"/>
  <c r="F465" i="6" a="1"/>
  <c r="F465" i="6" s="1"/>
  <c r="I465" i="6" s="1"/>
  <c r="F464" i="6" a="1"/>
  <c r="F464" i="6" s="1"/>
  <c r="I464" i="6" s="1"/>
  <c r="F463" i="6" a="1"/>
  <c r="F463" i="6" s="1"/>
  <c r="I463" i="6" s="1"/>
  <c r="F462" i="6" a="1"/>
  <c r="F462" i="6" s="1"/>
  <c r="I462" i="6" s="1"/>
  <c r="F461" i="6" a="1"/>
  <c r="F461" i="6" s="1"/>
  <c r="I461" i="6" s="1"/>
  <c r="F460" i="6" a="1"/>
  <c r="F460" i="6" s="1"/>
  <c r="I460" i="6" s="1"/>
  <c r="F459" i="6" a="1"/>
  <c r="F459" i="6" s="1"/>
  <c r="I459" i="6" s="1"/>
  <c r="F458" i="6" a="1"/>
  <c r="F458" i="6" s="1"/>
  <c r="I458" i="6" s="1"/>
  <c r="F852" i="6" a="1"/>
  <c r="F852" i="6" s="1"/>
  <c r="I852" i="6" s="1"/>
  <c r="F573" i="6" a="1"/>
  <c r="F573" i="6" s="1"/>
  <c r="I573" i="6" s="1"/>
  <c r="F563" i="6" a="1"/>
  <c r="F563" i="6" s="1"/>
  <c r="I563" i="6" s="1"/>
  <c r="F562" i="6" a="1"/>
  <c r="F562" i="6" s="1"/>
  <c r="I562" i="6" s="1"/>
  <c r="F561" i="6" a="1"/>
  <c r="F561" i="6" s="1"/>
  <c r="I561" i="6" s="1"/>
  <c r="F560" i="6" a="1"/>
  <c r="F560" i="6" s="1"/>
  <c r="I560" i="6" s="1"/>
  <c r="F559" i="6" a="1"/>
  <c r="F559" i="6" s="1"/>
  <c r="I559" i="6" s="1"/>
  <c r="F555" i="6" a="1"/>
  <c r="F555" i="6" s="1"/>
  <c r="I555" i="6" s="1"/>
  <c r="F554" i="6" a="1"/>
  <c r="F554" i="6" s="1"/>
  <c r="I554" i="6" s="1"/>
  <c r="F553" i="6" a="1"/>
  <c r="F553" i="6" s="1"/>
  <c r="I553" i="6" s="1"/>
  <c r="F548" i="6" a="1"/>
  <c r="F548" i="6" s="1"/>
  <c r="I548" i="6" s="1"/>
  <c r="F547" i="6" a="1"/>
  <c r="F547" i="6" s="1"/>
  <c r="I547" i="6" s="1"/>
  <c r="F546" i="6" a="1"/>
  <c r="F546" i="6" s="1"/>
  <c r="I546" i="6" s="1"/>
  <c r="F545" i="6" a="1"/>
  <c r="F545" i="6" s="1"/>
  <c r="I545" i="6" s="1"/>
  <c r="F544" i="6" a="1"/>
  <c r="F544" i="6" s="1"/>
  <c r="I544" i="6" s="1"/>
  <c r="F543" i="6" a="1"/>
  <c r="F543" i="6" s="1"/>
  <c r="I543" i="6" s="1"/>
  <c r="F542" i="6" a="1"/>
  <c r="F542" i="6" s="1"/>
  <c r="I542" i="6" s="1"/>
  <c r="F541" i="6" a="1"/>
  <c r="F541" i="6" s="1"/>
  <c r="I541" i="6" s="1"/>
  <c r="F538" i="6" a="1"/>
  <c r="F538" i="6" s="1"/>
  <c r="I538" i="6" s="1"/>
  <c r="F537" i="6" a="1"/>
  <c r="F537" i="6" s="1"/>
  <c r="I537" i="6" s="1"/>
  <c r="F526" i="6" a="1"/>
  <c r="F526" i="6" s="1"/>
  <c r="I526" i="6" s="1"/>
  <c r="F525" i="6" a="1"/>
  <c r="F525" i="6" s="1"/>
  <c r="I525" i="6" s="1"/>
  <c r="F524" i="6" a="1"/>
  <c r="F524" i="6" s="1"/>
  <c r="I524" i="6" s="1"/>
  <c r="F523" i="6" a="1"/>
  <c r="F523" i="6" s="1"/>
  <c r="I523" i="6" s="1"/>
  <c r="F578" i="6" a="1"/>
  <c r="F578" i="6" s="1"/>
  <c r="I578" i="6" s="1"/>
  <c r="F577" i="6" a="1"/>
  <c r="F577" i="6" s="1"/>
  <c r="I577" i="6" s="1"/>
  <c r="F576" i="6" a="1"/>
  <c r="F576" i="6" s="1"/>
  <c r="I576" i="6" s="1"/>
  <c r="F575" i="6" a="1"/>
  <c r="F575" i="6" s="1"/>
  <c r="I575" i="6" s="1"/>
  <c r="F574" i="6" a="1"/>
  <c r="F574" i="6" s="1"/>
  <c r="I574" i="6" s="1"/>
  <c r="F572" i="6" a="1"/>
  <c r="F572" i="6" s="1"/>
  <c r="I572" i="6" s="1"/>
  <c r="F571" i="6" a="1"/>
  <c r="F571" i="6" s="1"/>
  <c r="I571" i="6" s="1"/>
  <c r="F570" i="6" a="1"/>
  <c r="F570" i="6" s="1"/>
  <c r="I570" i="6" s="1"/>
  <c r="F569" i="6" a="1"/>
  <c r="F569" i="6" s="1"/>
  <c r="I569" i="6" s="1"/>
  <c r="F568" i="6" a="1"/>
  <c r="F568" i="6" s="1"/>
  <c r="I568" i="6" s="1"/>
  <c r="F567" i="6" a="1"/>
  <c r="F567" i="6" s="1"/>
  <c r="I567" i="6" s="1"/>
  <c r="F566" i="6" a="1"/>
  <c r="F566" i="6" s="1"/>
  <c r="I566" i="6" s="1"/>
  <c r="F565" i="6" a="1"/>
  <c r="F565" i="6" s="1"/>
  <c r="I565" i="6" s="1"/>
  <c r="F564" i="6" a="1"/>
  <c r="F564" i="6" s="1"/>
  <c r="I564" i="6" s="1"/>
  <c r="F558" i="6" a="1"/>
  <c r="F558" i="6" s="1"/>
  <c r="I558" i="6" s="1"/>
  <c r="F557" i="6" a="1"/>
  <c r="F557" i="6" s="1"/>
  <c r="I557" i="6" s="1"/>
  <c r="F556" i="6" a="1"/>
  <c r="F556" i="6" s="1"/>
  <c r="I556" i="6" s="1"/>
  <c r="F551" i="6" a="1"/>
  <c r="F551" i="6" s="1"/>
  <c r="I551" i="6" s="1"/>
  <c r="F550" i="6" a="1"/>
  <c r="F550" i="6" s="1"/>
  <c r="I550" i="6" s="1"/>
  <c r="F549" i="6" a="1"/>
  <c r="F549" i="6" s="1"/>
  <c r="I549" i="6" s="1"/>
  <c r="F540" i="6" a="1"/>
  <c r="F540" i="6" s="1"/>
  <c r="I540" i="6" s="1"/>
  <c r="F539" i="6" a="1"/>
  <c r="F539" i="6" s="1"/>
  <c r="I539" i="6" s="1"/>
  <c r="F536" i="6" a="1"/>
  <c r="F536" i="6" s="1"/>
  <c r="I536" i="6" s="1"/>
  <c r="F535" i="6" a="1"/>
  <c r="F535" i="6" s="1"/>
  <c r="I535" i="6" s="1"/>
  <c r="F534" i="6" a="1"/>
  <c r="F534" i="6" s="1"/>
  <c r="I534" i="6" s="1"/>
  <c r="F533" i="6" a="1"/>
  <c r="F533" i="6" s="1"/>
  <c r="I533" i="6" s="1"/>
  <c r="F532" i="6" a="1"/>
  <c r="F532" i="6" s="1"/>
  <c r="I532" i="6" s="1"/>
  <c r="F531" i="6" a="1"/>
  <c r="F531" i="6" s="1"/>
  <c r="I531" i="6" s="1"/>
  <c r="F530" i="6" a="1"/>
  <c r="F530" i="6" s="1"/>
  <c r="I530" i="6" s="1"/>
  <c r="F528" i="6" a="1"/>
  <c r="F528" i="6" s="1"/>
  <c r="I528" i="6" s="1"/>
  <c r="F527" i="6" a="1"/>
  <c r="F527" i="6" s="1"/>
  <c r="I527" i="6" s="1"/>
  <c r="F518" i="6" a="1"/>
  <c r="F518" i="6" s="1"/>
  <c r="I518" i="6" s="1"/>
  <c r="F516" i="6" a="1"/>
  <c r="F516" i="6" s="1"/>
  <c r="I516" i="6" s="1"/>
  <c r="F515" i="6" a="1"/>
  <c r="F515" i="6" s="1"/>
  <c r="I515" i="6" s="1"/>
  <c r="F503" i="6" a="1"/>
  <c r="F503" i="6" s="1"/>
  <c r="I503" i="6" s="1"/>
  <c r="F502" i="6" a="1"/>
  <c r="F502" i="6" s="1"/>
  <c r="I502" i="6" s="1"/>
  <c r="F501" i="6" a="1"/>
  <c r="F501" i="6" s="1"/>
  <c r="I501" i="6" s="1"/>
  <c r="F500" i="6" a="1"/>
  <c r="F500" i="6" s="1"/>
  <c r="I500" i="6" s="1"/>
  <c r="F499" i="6" a="1"/>
  <c r="F499" i="6" s="1"/>
  <c r="I499" i="6" s="1"/>
  <c r="F490" i="6" a="1"/>
  <c r="F490" i="6" s="1"/>
  <c r="I490" i="6" s="1"/>
  <c r="F489" i="6" a="1"/>
  <c r="F489" i="6" s="1"/>
  <c r="I489" i="6" s="1"/>
  <c r="F488" i="6" a="1"/>
  <c r="F488" i="6" s="1"/>
  <c r="I488" i="6" s="1"/>
  <c r="F467" i="6" a="1"/>
  <c r="F467" i="6" s="1"/>
  <c r="I467" i="6" s="1"/>
  <c r="F381" i="6" a="1"/>
  <c r="F381" i="6" s="1"/>
  <c r="I381" i="6" s="1"/>
  <c r="F380" i="6" a="1"/>
  <c r="F380" i="6" s="1"/>
  <c r="I380" i="6" s="1"/>
  <c r="F379" i="6" a="1"/>
  <c r="F379" i="6" s="1"/>
  <c r="I379" i="6" s="1"/>
  <c r="F345" i="6" a="1"/>
  <c r="F345" i="6" s="1"/>
  <c r="I345" i="6" s="1"/>
  <c r="F274" i="6" a="1"/>
  <c r="F274" i="6" s="1"/>
  <c r="I274" i="6" s="1"/>
  <c r="F623" i="6" a="1"/>
  <c r="F623" i="6" s="1"/>
  <c r="I623" i="6" s="1"/>
  <c r="F622" i="6" a="1"/>
  <c r="F622" i="6" s="1"/>
  <c r="I622" i="6" s="1"/>
  <c r="F621" i="6" a="1"/>
  <c r="F621" i="6" s="1"/>
  <c r="I621" i="6" s="1"/>
  <c r="F620" i="6" a="1"/>
  <c r="F620" i="6" s="1"/>
  <c r="I620" i="6" s="1"/>
  <c r="F619" i="6" a="1"/>
  <c r="F619" i="6" s="1"/>
  <c r="I619" i="6" s="1"/>
  <c r="F618" i="6" a="1"/>
  <c r="F618" i="6" s="1"/>
  <c r="I618" i="6" s="1"/>
  <c r="F617" i="6" a="1"/>
  <c r="F617" i="6" s="1"/>
  <c r="I617" i="6" s="1"/>
  <c r="F616" i="6" a="1"/>
  <c r="F616" i="6" s="1"/>
  <c r="I616" i="6" s="1"/>
  <c r="F615" i="6" a="1"/>
  <c r="F615" i="6" s="1"/>
  <c r="I615" i="6" s="1"/>
  <c r="F614" i="6" a="1"/>
  <c r="F614" i="6" s="1"/>
  <c r="I614" i="6" s="1"/>
  <c r="F613" i="6" a="1"/>
  <c r="F613" i="6" s="1"/>
  <c r="I613" i="6" s="1"/>
  <c r="F612" i="6" a="1"/>
  <c r="F612" i="6" s="1"/>
  <c r="I612" i="6" s="1"/>
  <c r="F611" i="6" a="1"/>
  <c r="F611" i="6" s="1"/>
  <c r="I611" i="6" s="1"/>
  <c r="F610" i="6" a="1"/>
  <c r="F610" i="6" s="1"/>
  <c r="I610" i="6" s="1"/>
  <c r="F609" i="6" a="1"/>
  <c r="F609" i="6" s="1"/>
  <c r="I609" i="6" s="1"/>
  <c r="F608" i="6" a="1"/>
  <c r="F608" i="6" s="1"/>
  <c r="I608" i="6" s="1"/>
  <c r="F607" i="6" a="1"/>
  <c r="F607" i="6" s="1"/>
  <c r="I607" i="6" s="1"/>
  <c r="F606" i="6" a="1"/>
  <c r="F606" i="6" s="1"/>
  <c r="I606" i="6" s="1"/>
  <c r="F605" i="6" a="1"/>
  <c r="F605" i="6" s="1"/>
  <c r="I605" i="6" s="1"/>
  <c r="F604" i="6" a="1"/>
  <c r="F604" i="6" s="1"/>
  <c r="I604" i="6" s="1"/>
  <c r="F603" i="6" a="1"/>
  <c r="F603" i="6" s="1"/>
  <c r="I603" i="6" s="1"/>
  <c r="F602" i="6" a="1"/>
  <c r="F602" i="6" s="1"/>
  <c r="I602" i="6" s="1"/>
  <c r="F601" i="6" a="1"/>
  <c r="F601" i="6" s="1"/>
  <c r="I601" i="6" s="1"/>
  <c r="F600" i="6" a="1"/>
  <c r="F600" i="6" s="1"/>
  <c r="I600" i="6" s="1"/>
  <c r="F599" i="6" a="1"/>
  <c r="F599" i="6" s="1"/>
  <c r="I599" i="6" s="1"/>
  <c r="F598" i="6" a="1"/>
  <c r="F598" i="6" s="1"/>
  <c r="I598" i="6" s="1"/>
  <c r="F597" i="6" a="1"/>
  <c r="F597" i="6" s="1"/>
  <c r="I597" i="6" s="1"/>
  <c r="F595" i="6" a="1"/>
  <c r="F595" i="6" s="1"/>
  <c r="I595" i="6" s="1"/>
  <c r="F594" i="6" a="1"/>
  <c r="F594" i="6" s="1"/>
  <c r="I594" i="6" s="1"/>
  <c r="F593" i="6" a="1"/>
  <c r="F593" i="6" s="1"/>
  <c r="I593" i="6" s="1"/>
  <c r="F591" i="6" a="1"/>
  <c r="F591" i="6" s="1"/>
  <c r="I591" i="6" s="1"/>
  <c r="F590" i="6" a="1"/>
  <c r="F590" i="6" s="1"/>
  <c r="I590" i="6" s="1"/>
  <c r="F589" i="6" a="1"/>
  <c r="F589" i="6" s="1"/>
  <c r="I589" i="6" s="1"/>
  <c r="F588" i="6" a="1"/>
  <c r="F588" i="6" s="1"/>
  <c r="I588" i="6" s="1"/>
  <c r="F587" i="6" a="1"/>
  <c r="F587" i="6" s="1"/>
  <c r="I587" i="6" s="1"/>
  <c r="F586" i="6" a="1"/>
  <c r="F586" i="6" s="1"/>
  <c r="I586" i="6" s="1"/>
  <c r="F585" i="6" a="1"/>
  <c r="F585" i="6" s="1"/>
  <c r="I585" i="6" s="1"/>
  <c r="F584" i="6" a="1"/>
  <c r="F584" i="6" s="1"/>
  <c r="I584" i="6" s="1"/>
  <c r="F583" i="6" a="1"/>
  <c r="F583" i="6" s="1"/>
  <c r="I583" i="6" s="1"/>
  <c r="F582" i="6" a="1"/>
  <c r="F582" i="6" s="1"/>
  <c r="I582" i="6" s="1"/>
  <c r="F581" i="6" a="1"/>
  <c r="F581" i="6" s="1"/>
  <c r="I581" i="6" s="1"/>
  <c r="F580" i="6" a="1"/>
  <c r="F580" i="6" s="1"/>
  <c r="I580" i="6" s="1"/>
  <c r="F579" i="6" a="1"/>
  <c r="F579" i="6" s="1"/>
  <c r="I579" i="6" s="1"/>
  <c r="F683" i="6" a="1"/>
  <c r="F683" i="6" s="1"/>
  <c r="I683" i="6" s="1"/>
  <c r="F672" i="6" a="1"/>
  <c r="F672" i="6" s="1"/>
  <c r="I672" i="6" s="1"/>
  <c r="F655" i="6" a="1"/>
  <c r="F655" i="6" s="1"/>
  <c r="I655" i="6" s="1"/>
  <c r="F650" i="6" a="1"/>
  <c r="F650" i="6" s="1"/>
  <c r="I650" i="6" s="1"/>
  <c r="F649" i="6" a="1"/>
  <c r="F649" i="6" s="1"/>
  <c r="I649" i="6" s="1"/>
  <c r="F648" i="6" a="1"/>
  <c r="F648" i="6" s="1"/>
  <c r="I648" i="6" s="1"/>
  <c r="F646" i="6" a="1"/>
  <c r="F646" i="6" s="1"/>
  <c r="I646" i="6" s="1"/>
  <c r="F644" i="6" a="1"/>
  <c r="F644" i="6" s="1"/>
  <c r="I644" i="6" s="1"/>
  <c r="F643" i="6" a="1"/>
  <c r="F643" i="6" s="1"/>
  <c r="I643" i="6" s="1"/>
  <c r="F642" i="6" a="1"/>
  <c r="F642" i="6" s="1"/>
  <c r="I642" i="6" s="1"/>
  <c r="F641" i="6" a="1"/>
  <c r="F641" i="6" s="1"/>
  <c r="I641" i="6" s="1"/>
  <c r="F640" i="6" a="1"/>
  <c r="F640" i="6" s="1"/>
  <c r="I640" i="6" s="1"/>
  <c r="F639" i="6" a="1"/>
  <c r="F639" i="6" s="1"/>
  <c r="I639" i="6" s="1"/>
  <c r="F638" i="6" a="1"/>
  <c r="F638" i="6" s="1"/>
  <c r="I638" i="6" s="1"/>
  <c r="F636" i="6" a="1"/>
  <c r="F636" i="6" s="1"/>
  <c r="I636" i="6" s="1"/>
  <c r="F631" i="6" a="1"/>
  <c r="F631" i="6" s="1"/>
  <c r="I631" i="6" s="1"/>
  <c r="F630" i="6" a="1"/>
  <c r="F630" i="6" s="1"/>
  <c r="I630" i="6" s="1"/>
  <c r="F629" i="6" a="1"/>
  <c r="F629" i="6" s="1"/>
  <c r="I629" i="6" s="1"/>
  <c r="F628" i="6" a="1"/>
  <c r="F628" i="6" s="1"/>
  <c r="I628" i="6" s="1"/>
  <c r="F627" i="6" a="1"/>
  <c r="F627" i="6" s="1"/>
  <c r="I627" i="6" s="1"/>
  <c r="F626" i="6" a="1"/>
  <c r="F626" i="6" s="1"/>
  <c r="I626" i="6" s="1"/>
  <c r="F625" i="6" a="1"/>
  <c r="F625" i="6" s="1"/>
  <c r="I625" i="6" s="1"/>
  <c r="F624" i="6" a="1"/>
  <c r="F624" i="6" s="1"/>
  <c r="I624" i="6" s="1"/>
  <c r="F853" i="6" a="1"/>
  <c r="F853" i="6" s="1"/>
  <c r="I853" i="6" s="1"/>
  <c r="F854" i="6" a="1"/>
  <c r="F854" i="6" s="1"/>
  <c r="I854" i="6" s="1"/>
  <c r="F855" i="6" a="1"/>
  <c r="F855" i="6" s="1"/>
  <c r="I855" i="6" s="1"/>
  <c r="F856" i="6" a="1"/>
  <c r="F856" i="6" s="1"/>
  <c r="I856" i="6" s="1"/>
  <c r="F857" i="6" a="1"/>
  <c r="F857" i="6" s="1"/>
  <c r="I857" i="6" s="1"/>
  <c r="F858" i="6" a="1"/>
  <c r="F858" i="6" s="1"/>
  <c r="I858" i="6" s="1"/>
  <c r="F859" i="6" a="1"/>
  <c r="F859" i="6" s="1"/>
  <c r="I859" i="6" s="1"/>
  <c r="F860" i="6" a="1"/>
  <c r="F860" i="6" s="1"/>
  <c r="I860" i="6" s="1"/>
  <c r="F861" i="6" a="1"/>
  <c r="F861" i="6" s="1"/>
  <c r="I861" i="6" s="1"/>
  <c r="F862" i="6" a="1"/>
  <c r="F862" i="6" s="1"/>
  <c r="I862" i="6" s="1"/>
  <c r="F863" i="6" a="1"/>
  <c r="F863" i="6" s="1"/>
  <c r="I863" i="6" s="1"/>
  <c r="F864" i="6" a="1"/>
  <c r="F864" i="6" s="1"/>
  <c r="F865" i="6" a="1"/>
  <c r="F865" i="6" s="1"/>
  <c r="F866" i="6" a="1"/>
  <c r="F866" i="6" s="1"/>
  <c r="F867" i="6" a="1"/>
  <c r="F867" i="6" s="1"/>
  <c r="F868" i="6" a="1"/>
  <c r="F868" i="6" s="1"/>
  <c r="F869" i="6" a="1"/>
  <c r="F869" i="6" s="1"/>
  <c r="F870" i="6" a="1"/>
  <c r="F870" i="6" s="1"/>
  <c r="F871" i="6" a="1"/>
  <c r="F871" i="6" s="1"/>
  <c r="F872" i="6" a="1"/>
  <c r="F872" i="6" s="1"/>
  <c r="F873" i="6" a="1"/>
  <c r="F873" i="6" s="1"/>
  <c r="F874" i="6" a="1"/>
  <c r="F874" i="6" s="1"/>
  <c r="F875" i="6" a="1"/>
  <c r="F875" i="6" s="1"/>
  <c r="F876" i="6" a="1"/>
  <c r="F876" i="6" s="1"/>
  <c r="F877" i="6" a="1"/>
  <c r="F877" i="6" s="1"/>
  <c r="F878" i="6" a="1"/>
  <c r="F878" i="6" s="1"/>
  <c r="F879" i="6" a="1"/>
  <c r="F879" i="6" s="1"/>
  <c r="F880" i="6" a="1"/>
  <c r="F880" i="6" s="1"/>
  <c r="F881" i="6" a="1"/>
  <c r="F881" i="6" s="1"/>
  <c r="F882" i="6" a="1"/>
  <c r="F882" i="6" s="1"/>
  <c r="F883" i="6" a="1"/>
  <c r="F883" i="6" s="1"/>
  <c r="F884" i="6" a="1"/>
  <c r="F884" i="6" s="1"/>
  <c r="F885" i="6" a="1"/>
  <c r="F885" i="6" s="1"/>
  <c r="F886" i="6" a="1"/>
  <c r="F886" i="6" s="1"/>
  <c r="F887" i="6" a="1"/>
  <c r="F887" i="6" s="1"/>
  <c r="F888" i="6" a="1"/>
  <c r="F888" i="6" s="1"/>
  <c r="F889" i="6" a="1"/>
  <c r="F889" i="6" s="1"/>
  <c r="F890" i="6" a="1"/>
  <c r="F890" i="6" s="1"/>
  <c r="F891" i="6" a="1"/>
  <c r="F891" i="6" s="1"/>
  <c r="F892" i="6" a="1"/>
  <c r="F892" i="6" s="1"/>
  <c r="F893" i="6" a="1"/>
  <c r="F893" i="6" s="1"/>
  <c r="F894" i="6" a="1"/>
  <c r="F894" i="6" s="1"/>
  <c r="F895" i="6" a="1"/>
  <c r="F895" i="6" s="1"/>
  <c r="F896" i="6" a="1"/>
  <c r="F896" i="6" s="1"/>
  <c r="F897" i="6" a="1"/>
  <c r="F897" i="6" s="1"/>
  <c r="F898" i="6" a="1"/>
  <c r="F898" i="6" s="1"/>
  <c r="F899" i="6" a="1"/>
  <c r="F899" i="6" s="1"/>
  <c r="F900" i="6" a="1"/>
  <c r="F900" i="6" s="1"/>
  <c r="F901" i="6" a="1"/>
  <c r="F901" i="6" s="1"/>
  <c r="F902" i="6" a="1"/>
  <c r="F902" i="6" s="1"/>
  <c r="F903" i="6" a="1"/>
  <c r="F903" i="6" s="1"/>
  <c r="F904" i="6" a="1"/>
  <c r="F904" i="6" s="1"/>
  <c r="F905" i="6" a="1"/>
  <c r="F905" i="6" s="1"/>
  <c r="F906" i="6" a="1"/>
  <c r="F906" i="6" s="1"/>
  <c r="F907" i="6" a="1"/>
  <c r="F907" i="6" s="1"/>
  <c r="F908" i="6" a="1"/>
  <c r="F908" i="6" s="1"/>
  <c r="F909" i="6" a="1"/>
  <c r="F909" i="6" s="1"/>
  <c r="F910" i="6" a="1"/>
  <c r="F910" i="6" s="1"/>
  <c r="F911" i="6" a="1"/>
  <c r="F911" i="6" s="1"/>
  <c r="F912" i="6" a="1"/>
  <c r="F912" i="6" s="1"/>
  <c r="F913" i="6" a="1"/>
  <c r="F913" i="6" s="1"/>
  <c r="F914" i="6" a="1"/>
  <c r="F914" i="6" s="1"/>
  <c r="F915" i="6" a="1"/>
  <c r="F915" i="6" s="1"/>
  <c r="F916" i="6" a="1"/>
  <c r="F916" i="6" s="1"/>
  <c r="F917" i="6" a="1"/>
  <c r="F917" i="6" s="1"/>
  <c r="F918" i="6" a="1"/>
  <c r="F918" i="6" s="1"/>
  <c r="F919" i="6" a="1"/>
  <c r="F919" i="6" s="1"/>
  <c r="F920" i="6" a="1"/>
  <c r="F920" i="6" s="1"/>
  <c r="F921" i="6" a="1"/>
  <c r="F921" i="6" s="1"/>
  <c r="F922" i="6" a="1"/>
  <c r="F922" i="6" s="1"/>
  <c r="F923" i="6" a="1"/>
  <c r="F923" i="6" s="1"/>
  <c r="F924" i="6" a="1"/>
  <c r="F924" i="6" s="1"/>
  <c r="F925" i="6" a="1"/>
  <c r="F925" i="6" s="1"/>
  <c r="F926" i="6" a="1"/>
  <c r="F926" i="6" s="1"/>
  <c r="H258" i="6"/>
  <c r="T33" i="6"/>
  <c r="T32" i="6"/>
  <c r="T31" i="6"/>
  <c r="T30" i="6"/>
  <c r="T28" i="6"/>
  <c r="T27" i="6"/>
  <c r="T26" i="6"/>
  <c r="T25" i="6"/>
  <c r="T23" i="6"/>
  <c r="T22" i="6"/>
  <c r="T21" i="6"/>
  <c r="T20" i="6"/>
  <c r="T18" i="6"/>
  <c r="T17" i="6"/>
  <c r="T16" i="6"/>
  <c r="T15" i="6"/>
  <c r="T13" i="6"/>
  <c r="T12" i="6"/>
  <c r="T11" i="6"/>
  <c r="T10" i="6"/>
  <c r="T8" i="6"/>
  <c r="T7" i="6"/>
  <c r="T6" i="6"/>
  <c r="T5" i="6"/>
  <c r="P51" i="6"/>
  <c r="P50" i="6"/>
  <c r="P49" i="6"/>
  <c r="P48" i="6"/>
  <c r="P47" i="6"/>
  <c r="P46" i="6"/>
  <c r="P45" i="6"/>
  <c r="P43" i="6"/>
  <c r="P42" i="6"/>
  <c r="P41" i="6"/>
  <c r="P40" i="6"/>
  <c r="P39" i="6"/>
  <c r="P38" i="6"/>
  <c r="P37" i="6"/>
  <c r="P33" i="6"/>
  <c r="P35" i="6"/>
  <c r="P34" i="6"/>
  <c r="P32" i="6"/>
  <c r="P31" i="6"/>
  <c r="P30" i="6"/>
  <c r="P29" i="6"/>
  <c r="P27" i="6"/>
  <c r="P26" i="6"/>
  <c r="P25" i="6"/>
  <c r="P24" i="6"/>
  <c r="P23" i="6"/>
  <c r="P22" i="6"/>
  <c r="P21" i="6"/>
  <c r="P19" i="6"/>
  <c r="P18" i="6"/>
  <c r="P17" i="6"/>
  <c r="P16" i="6"/>
  <c r="P15" i="6"/>
  <c r="P14" i="6"/>
  <c r="P13" i="6"/>
  <c r="H851" i="6"/>
  <c r="F851" i="6" a="1"/>
  <c r="F851" i="6" s="1"/>
  <c r="I851" i="6" s="1"/>
  <c r="H850" i="6"/>
  <c r="F850" i="6" a="1"/>
  <c r="F850" i="6" s="1"/>
  <c r="I850" i="6" s="1"/>
  <c r="H849" i="6"/>
  <c r="F849" i="6" a="1"/>
  <c r="F849" i="6" s="1"/>
  <c r="I849" i="6" s="1"/>
  <c r="H848" i="6"/>
  <c r="F848" i="6" a="1"/>
  <c r="F848" i="6" s="1"/>
  <c r="I848" i="6" s="1"/>
  <c r="H847" i="6"/>
  <c r="F847" i="6" a="1"/>
  <c r="F847" i="6" s="1"/>
  <c r="I847" i="6" s="1"/>
  <c r="H846" i="6"/>
  <c r="F846" i="6" a="1"/>
  <c r="F846" i="6" s="1"/>
  <c r="I846" i="6" s="1"/>
  <c r="H845" i="6"/>
  <c r="F845" i="6" a="1"/>
  <c r="F845" i="6" s="1"/>
  <c r="I845" i="6" s="1"/>
  <c r="H844" i="6"/>
  <c r="F844" i="6" a="1"/>
  <c r="F844" i="6" s="1"/>
  <c r="I844" i="6" s="1"/>
  <c r="H843" i="6"/>
  <c r="F843" i="6" a="1"/>
  <c r="F843" i="6" s="1"/>
  <c r="I843" i="6" s="1"/>
  <c r="H842" i="6"/>
  <c r="F842" i="6" a="1"/>
  <c r="F842" i="6" s="1"/>
  <c r="I842" i="6" s="1"/>
  <c r="H841" i="6"/>
  <c r="F841" i="6" a="1"/>
  <c r="F841" i="6" s="1"/>
  <c r="I841" i="6" s="1"/>
  <c r="H840" i="6"/>
  <c r="F840" i="6" a="1"/>
  <c r="F840" i="6" s="1"/>
  <c r="I840" i="6" s="1"/>
  <c r="H839" i="6"/>
  <c r="F839" i="6" a="1"/>
  <c r="F839" i="6" s="1"/>
  <c r="I839" i="6" s="1"/>
  <c r="H838" i="6"/>
  <c r="F838" i="6" a="1"/>
  <c r="F838" i="6" s="1"/>
  <c r="I838" i="6" s="1"/>
  <c r="H837" i="6"/>
  <c r="F837" i="6" a="1"/>
  <c r="F837" i="6" s="1"/>
  <c r="I837" i="6" s="1"/>
  <c r="H836" i="6"/>
  <c r="F836" i="6" a="1"/>
  <c r="F836" i="6" s="1"/>
  <c r="I836" i="6" s="1"/>
  <c r="H835" i="6"/>
  <c r="F835" i="6" a="1"/>
  <c r="F835" i="6" s="1"/>
  <c r="I835" i="6" s="1"/>
  <c r="H834" i="6"/>
  <c r="F834" i="6" a="1"/>
  <c r="F834" i="6" s="1"/>
  <c r="I834" i="6" s="1"/>
  <c r="H833" i="6"/>
  <c r="F833" i="6" a="1"/>
  <c r="F833" i="6" s="1"/>
  <c r="I833" i="6" s="1"/>
  <c r="H832" i="6"/>
  <c r="F832" i="6" a="1"/>
  <c r="F832" i="6" s="1"/>
  <c r="I832" i="6" s="1"/>
  <c r="H831" i="6"/>
  <c r="F831" i="6" a="1"/>
  <c r="F831" i="6" s="1"/>
  <c r="I831" i="6" s="1"/>
  <c r="H830" i="6"/>
  <c r="F830" i="6" a="1"/>
  <c r="F830" i="6" s="1"/>
  <c r="I830" i="6" s="1"/>
  <c r="H829" i="6"/>
  <c r="F829" i="6" a="1"/>
  <c r="F829" i="6" s="1"/>
  <c r="I829" i="6" s="1"/>
  <c r="H828" i="6"/>
  <c r="F828" i="6" a="1"/>
  <c r="F828" i="6" s="1"/>
  <c r="I828" i="6" s="1"/>
  <c r="H827" i="6"/>
  <c r="F827" i="6" a="1"/>
  <c r="F827" i="6" s="1"/>
  <c r="I827" i="6" s="1"/>
  <c r="H826" i="6"/>
  <c r="F826" i="6" a="1"/>
  <c r="F826" i="6" s="1"/>
  <c r="I826" i="6" s="1"/>
  <c r="H825" i="6"/>
  <c r="F825" i="6" a="1"/>
  <c r="F825" i="6" s="1"/>
  <c r="I825" i="6" s="1"/>
  <c r="H824" i="6"/>
  <c r="F824" i="6" a="1"/>
  <c r="F824" i="6" s="1"/>
  <c r="I824" i="6" s="1"/>
  <c r="H823" i="6"/>
  <c r="F823" i="6" a="1"/>
  <c r="F823" i="6" s="1"/>
  <c r="I823" i="6" s="1"/>
  <c r="H822" i="6"/>
  <c r="F822" i="6" a="1"/>
  <c r="F822" i="6" s="1"/>
  <c r="I822" i="6" s="1"/>
  <c r="H821" i="6"/>
  <c r="F821" i="6" a="1"/>
  <c r="F821" i="6" s="1"/>
  <c r="I821" i="6" s="1"/>
  <c r="H820" i="6"/>
  <c r="F820" i="6" a="1"/>
  <c r="F820" i="6" s="1"/>
  <c r="I820" i="6" s="1"/>
  <c r="H819" i="6"/>
  <c r="F819" i="6" a="1"/>
  <c r="F819" i="6" s="1"/>
  <c r="I819" i="6" s="1"/>
  <c r="H818" i="6"/>
  <c r="F818" i="6" a="1"/>
  <c r="F818" i="6" s="1"/>
  <c r="I818" i="6" s="1"/>
  <c r="H817" i="6"/>
  <c r="F817" i="6" a="1"/>
  <c r="F817" i="6" s="1"/>
  <c r="I817" i="6" s="1"/>
  <c r="H816" i="6"/>
  <c r="F816" i="6" a="1"/>
  <c r="F816" i="6" s="1"/>
  <c r="I816" i="6" s="1"/>
  <c r="H815" i="6"/>
  <c r="F815" i="6" a="1"/>
  <c r="F815" i="6" s="1"/>
  <c r="I815" i="6" s="1"/>
  <c r="H814" i="6"/>
  <c r="F814" i="6" a="1"/>
  <c r="F814" i="6" s="1"/>
  <c r="I814" i="6" s="1"/>
  <c r="H813" i="6"/>
  <c r="F813" i="6" a="1"/>
  <c r="F813" i="6" s="1"/>
  <c r="I813" i="6" s="1"/>
  <c r="H812" i="6"/>
  <c r="F812" i="6" a="1"/>
  <c r="F812" i="6" s="1"/>
  <c r="I812" i="6" s="1"/>
  <c r="H811" i="6"/>
  <c r="F811" i="6" a="1"/>
  <c r="F811" i="6" s="1"/>
  <c r="I811" i="6" s="1"/>
  <c r="H810" i="6"/>
  <c r="F810" i="6" a="1"/>
  <c r="F810" i="6" s="1"/>
  <c r="I810" i="6" s="1"/>
  <c r="F809" i="6" a="1"/>
  <c r="F809" i="6" s="1"/>
  <c r="F808" i="6" a="1"/>
  <c r="F808" i="6" s="1"/>
  <c r="H807" i="6"/>
  <c r="F807" i="6" a="1"/>
  <c r="F807" i="6" s="1"/>
  <c r="H806" i="6"/>
  <c r="F806" i="6" a="1"/>
  <c r="F806" i="6" s="1"/>
  <c r="H805" i="6"/>
  <c r="F805" i="6" a="1"/>
  <c r="F805" i="6" s="1"/>
  <c r="I805" i="6" s="1"/>
  <c r="H804" i="6"/>
  <c r="F804" i="6" a="1"/>
  <c r="F804" i="6" s="1"/>
  <c r="I804" i="6" s="1"/>
  <c r="H803" i="6"/>
  <c r="F803" i="6" a="1"/>
  <c r="F803" i="6" s="1"/>
  <c r="I803" i="6" s="1"/>
  <c r="H802" i="6"/>
  <c r="F802" i="6" a="1"/>
  <c r="F802" i="6" s="1"/>
  <c r="I802" i="6" s="1"/>
  <c r="H801" i="6"/>
  <c r="F801" i="6" a="1"/>
  <c r="F801" i="6" s="1"/>
  <c r="I801" i="6" s="1"/>
  <c r="H800" i="6"/>
  <c r="F800" i="6" a="1"/>
  <c r="F800" i="6" s="1"/>
  <c r="I800" i="6" s="1"/>
  <c r="H799" i="6"/>
  <c r="F799" i="6" a="1"/>
  <c r="F799" i="6" s="1"/>
  <c r="I799" i="6" s="1"/>
  <c r="H798" i="6"/>
  <c r="F798" i="6" a="1"/>
  <c r="F798" i="6" s="1"/>
  <c r="I798" i="6" s="1"/>
  <c r="H797" i="6"/>
  <c r="F797" i="6" a="1"/>
  <c r="F797" i="6" s="1"/>
  <c r="I797" i="6" s="1"/>
  <c r="H796" i="6"/>
  <c r="F796" i="6" a="1"/>
  <c r="F796" i="6" s="1"/>
  <c r="H795" i="6"/>
  <c r="F795" i="6" a="1"/>
  <c r="F795" i="6" s="1"/>
  <c r="I795" i="6" s="1"/>
  <c r="H794" i="6"/>
  <c r="F794" i="6" a="1"/>
  <c r="F794" i="6" s="1"/>
  <c r="I794" i="6" s="1"/>
  <c r="H793" i="6"/>
  <c r="F793" i="6" a="1"/>
  <c r="F793" i="6" s="1"/>
  <c r="I793" i="6" s="1"/>
  <c r="H792" i="6"/>
  <c r="F792" i="6" a="1"/>
  <c r="F792" i="6" s="1"/>
  <c r="I792" i="6" s="1"/>
  <c r="H791" i="6"/>
  <c r="F791" i="6" a="1"/>
  <c r="F791" i="6" s="1"/>
  <c r="I791" i="6" s="1"/>
  <c r="H790" i="6"/>
  <c r="F790" i="6" a="1"/>
  <c r="F790" i="6" s="1"/>
  <c r="I790" i="6" s="1"/>
  <c r="F789" i="6" a="1"/>
  <c r="F789" i="6" s="1"/>
  <c r="H788" i="6"/>
  <c r="F788" i="6" a="1"/>
  <c r="F788" i="6" s="1"/>
  <c r="I788" i="6" s="1"/>
  <c r="H787" i="6"/>
  <c r="F787" i="6" a="1"/>
  <c r="F787" i="6" s="1"/>
  <c r="I787" i="6" s="1"/>
  <c r="H786" i="6"/>
  <c r="F786" i="6" a="1"/>
  <c r="F786" i="6" s="1"/>
  <c r="I786" i="6" s="1"/>
  <c r="H785" i="6"/>
  <c r="F785" i="6" a="1"/>
  <c r="F785" i="6" s="1"/>
  <c r="I785" i="6" s="1"/>
  <c r="F784" i="6" a="1"/>
  <c r="F784" i="6" s="1"/>
  <c r="H783" i="6"/>
  <c r="F783" i="6" a="1"/>
  <c r="F783" i="6" s="1"/>
  <c r="I783" i="6" s="1"/>
  <c r="H782" i="6"/>
  <c r="F782" i="6" a="1"/>
  <c r="F782" i="6" s="1"/>
  <c r="I782" i="6" s="1"/>
  <c r="H781" i="6"/>
  <c r="F781" i="6" a="1"/>
  <c r="F781" i="6" s="1"/>
  <c r="I781" i="6" s="1"/>
  <c r="H780" i="6"/>
  <c r="F780" i="6" a="1"/>
  <c r="F780" i="6" s="1"/>
  <c r="I780" i="6" s="1"/>
  <c r="H779" i="6"/>
  <c r="F779" i="6" a="1"/>
  <c r="F779" i="6" s="1"/>
  <c r="I779" i="6" s="1"/>
  <c r="H778" i="6"/>
  <c r="F778" i="6" a="1"/>
  <c r="F778" i="6" s="1"/>
  <c r="I778" i="6" s="1"/>
  <c r="H777" i="6"/>
  <c r="F777" i="6" a="1"/>
  <c r="F777" i="6" s="1"/>
  <c r="I777" i="6" s="1"/>
  <c r="H776" i="6"/>
  <c r="F776" i="6" a="1"/>
  <c r="F776" i="6" s="1"/>
  <c r="I776" i="6" s="1"/>
  <c r="H775" i="6"/>
  <c r="F775" i="6" a="1"/>
  <c r="F775" i="6" s="1"/>
  <c r="I775" i="6" s="1"/>
  <c r="H774" i="6"/>
  <c r="F774" i="6" a="1"/>
  <c r="F774" i="6" s="1"/>
  <c r="I774" i="6" s="1"/>
  <c r="H773" i="6"/>
  <c r="F773" i="6" a="1"/>
  <c r="F773" i="6" s="1"/>
  <c r="I773" i="6" s="1"/>
  <c r="H772" i="6"/>
  <c r="F772" i="6" a="1"/>
  <c r="F772" i="6" s="1"/>
  <c r="I772" i="6" s="1"/>
  <c r="H771" i="6"/>
  <c r="F771" i="6" a="1"/>
  <c r="F771" i="6" s="1"/>
  <c r="I771" i="6" s="1"/>
  <c r="H770" i="6"/>
  <c r="F770" i="6" a="1"/>
  <c r="F770" i="6" s="1"/>
  <c r="I770" i="6" s="1"/>
  <c r="H769" i="6"/>
  <c r="F769" i="6" a="1"/>
  <c r="F769" i="6" s="1"/>
  <c r="I769" i="6" s="1"/>
  <c r="H768" i="6"/>
  <c r="F768" i="6" a="1"/>
  <c r="F768" i="6" s="1"/>
  <c r="I768" i="6" s="1"/>
  <c r="F767" i="6" a="1"/>
  <c r="F767" i="6" s="1"/>
  <c r="H766" i="6"/>
  <c r="F766" i="6" a="1"/>
  <c r="F766" i="6" s="1"/>
  <c r="I766" i="6" s="1"/>
  <c r="H765" i="6"/>
  <c r="F765" i="6" a="1"/>
  <c r="F765" i="6" s="1"/>
  <c r="I765" i="6" s="1"/>
  <c r="H764" i="6"/>
  <c r="F764" i="6" a="1"/>
  <c r="F764" i="6" s="1"/>
  <c r="I764" i="6" s="1"/>
  <c r="H763" i="6"/>
  <c r="F763" i="6" a="1"/>
  <c r="F763" i="6" s="1"/>
  <c r="I763" i="6" s="1"/>
  <c r="H762" i="6"/>
  <c r="F762" i="6" a="1"/>
  <c r="F762" i="6" s="1"/>
  <c r="I762" i="6" s="1"/>
  <c r="H761" i="6"/>
  <c r="F761" i="6" a="1"/>
  <c r="F761" i="6" s="1"/>
  <c r="I761" i="6" s="1"/>
  <c r="H760" i="6"/>
  <c r="F760" i="6" a="1"/>
  <c r="F760" i="6" s="1"/>
  <c r="I760" i="6" s="1"/>
  <c r="H759" i="6"/>
  <c r="F759" i="6" a="1"/>
  <c r="F759" i="6" s="1"/>
  <c r="I759" i="6" s="1"/>
  <c r="H758" i="6"/>
  <c r="F758" i="6" a="1"/>
  <c r="F758" i="6" s="1"/>
  <c r="I758" i="6" s="1"/>
  <c r="H757" i="6"/>
  <c r="F757" i="6" a="1"/>
  <c r="F757" i="6" s="1"/>
  <c r="I757" i="6" s="1"/>
  <c r="H756" i="6"/>
  <c r="F756" i="6" a="1"/>
  <c r="F756" i="6" s="1"/>
  <c r="I756" i="6" s="1"/>
  <c r="H755" i="6"/>
  <c r="F755" i="6" a="1"/>
  <c r="F755" i="6" s="1"/>
  <c r="I755" i="6" s="1"/>
  <c r="H754" i="6"/>
  <c r="F754" i="6" a="1"/>
  <c r="F754" i="6" s="1"/>
  <c r="I754" i="6" s="1"/>
  <c r="H753" i="6"/>
  <c r="F753" i="6" a="1"/>
  <c r="F753" i="6" s="1"/>
  <c r="I753" i="6" s="1"/>
  <c r="H752" i="6"/>
  <c r="F752" i="6" a="1"/>
  <c r="F752" i="6" s="1"/>
  <c r="I752" i="6" s="1"/>
  <c r="H751" i="6"/>
  <c r="F751" i="6" a="1"/>
  <c r="F751" i="6" s="1"/>
  <c r="I751" i="6" s="1"/>
  <c r="H750" i="6"/>
  <c r="F750" i="6" a="1"/>
  <c r="F750" i="6" s="1"/>
  <c r="I750" i="6" s="1"/>
  <c r="H749" i="6"/>
  <c r="F749" i="6" a="1"/>
  <c r="F749" i="6" s="1"/>
  <c r="I749" i="6" s="1"/>
  <c r="H748" i="6"/>
  <c r="F748" i="6" a="1"/>
  <c r="F748" i="6" s="1"/>
  <c r="I748" i="6" s="1"/>
  <c r="H747" i="6"/>
  <c r="F747" i="6" a="1"/>
  <c r="F747" i="6" s="1"/>
  <c r="I747" i="6" s="1"/>
  <c r="H746" i="6"/>
  <c r="F746" i="6" a="1"/>
  <c r="F746" i="6" s="1"/>
  <c r="I746" i="6" s="1"/>
  <c r="H745" i="6"/>
  <c r="F745" i="6" a="1"/>
  <c r="F745" i="6" s="1"/>
  <c r="I745" i="6" s="1"/>
  <c r="H744" i="6"/>
  <c r="F744" i="6" a="1"/>
  <c r="F744" i="6" s="1"/>
  <c r="I744" i="6" s="1"/>
  <c r="H743" i="6"/>
  <c r="F743" i="6" a="1"/>
  <c r="F743" i="6" s="1"/>
  <c r="I743" i="6" s="1"/>
  <c r="H742" i="6"/>
  <c r="F742" i="6" a="1"/>
  <c r="F742" i="6" s="1"/>
  <c r="I742" i="6" s="1"/>
  <c r="H741" i="6"/>
  <c r="F741" i="6" a="1"/>
  <c r="F741" i="6" s="1"/>
  <c r="I741" i="6" s="1"/>
  <c r="H740" i="6"/>
  <c r="F740" i="6" a="1"/>
  <c r="F740" i="6" s="1"/>
  <c r="I740" i="6" s="1"/>
  <c r="H739" i="6"/>
  <c r="F739" i="6" a="1"/>
  <c r="F739" i="6" s="1"/>
  <c r="I739" i="6" s="1"/>
  <c r="H738" i="6"/>
  <c r="F738" i="6" a="1"/>
  <c r="F738" i="6" s="1"/>
  <c r="I738" i="6" s="1"/>
  <c r="H737" i="6"/>
  <c r="F737" i="6" a="1"/>
  <c r="F737" i="6" s="1"/>
  <c r="I737" i="6" s="1"/>
  <c r="H736" i="6"/>
  <c r="F736" i="6" a="1"/>
  <c r="F736" i="6" s="1"/>
  <c r="I736" i="6" s="1"/>
  <c r="H735" i="6"/>
  <c r="F735" i="6" a="1"/>
  <c r="F735" i="6" s="1"/>
  <c r="I735" i="6" s="1"/>
  <c r="H734" i="6"/>
  <c r="F734" i="6" a="1"/>
  <c r="F734" i="6" s="1"/>
  <c r="I734" i="6" s="1"/>
  <c r="H733" i="6"/>
  <c r="F733" i="6" a="1"/>
  <c r="F733" i="6" s="1"/>
  <c r="I733" i="6" s="1"/>
  <c r="H732" i="6"/>
  <c r="F732" i="6" a="1"/>
  <c r="F732" i="6" s="1"/>
  <c r="I732" i="6" s="1"/>
  <c r="H731" i="6"/>
  <c r="F731" i="6" a="1"/>
  <c r="F731" i="6" s="1"/>
  <c r="I731" i="6" s="1"/>
  <c r="H730" i="6"/>
  <c r="F730" i="6" a="1"/>
  <c r="F730" i="6" s="1"/>
  <c r="I730" i="6" s="1"/>
  <c r="F729" i="6" a="1"/>
  <c r="F729" i="6" s="1"/>
  <c r="H728" i="6"/>
  <c r="F728" i="6" a="1"/>
  <c r="F728" i="6" s="1"/>
  <c r="I728" i="6" s="1"/>
  <c r="H727" i="6"/>
  <c r="F727" i="6" a="1"/>
  <c r="F727" i="6" s="1"/>
  <c r="I727" i="6" s="1"/>
  <c r="H726" i="6"/>
  <c r="F726" i="6" a="1"/>
  <c r="F726" i="6" s="1"/>
  <c r="I726" i="6" s="1"/>
  <c r="H725" i="6"/>
  <c r="F725" i="6" a="1"/>
  <c r="F725" i="6" s="1"/>
  <c r="I725" i="6" s="1"/>
  <c r="H724" i="6"/>
  <c r="F724" i="6" a="1"/>
  <c r="F724" i="6" s="1"/>
  <c r="I724" i="6" s="1"/>
  <c r="H723" i="6"/>
  <c r="F723" i="6" a="1"/>
  <c r="F723" i="6" s="1"/>
  <c r="I723" i="6" s="1"/>
  <c r="H722" i="6"/>
  <c r="F722" i="6" a="1"/>
  <c r="F722" i="6" s="1"/>
  <c r="I722" i="6" s="1"/>
  <c r="H721" i="6"/>
  <c r="F721" i="6" a="1"/>
  <c r="F721" i="6" s="1"/>
  <c r="I721" i="6" s="1"/>
  <c r="H720" i="6"/>
  <c r="F720" i="6" a="1"/>
  <c r="F720" i="6" s="1"/>
  <c r="I720" i="6" s="1"/>
  <c r="H719" i="6"/>
  <c r="F719" i="6" a="1"/>
  <c r="F719" i="6" s="1"/>
  <c r="I719" i="6" s="1"/>
  <c r="H718" i="6"/>
  <c r="F718" i="6" a="1"/>
  <c r="F718" i="6" s="1"/>
  <c r="I718" i="6" s="1"/>
  <c r="H717" i="6"/>
  <c r="F717" i="6" a="1"/>
  <c r="F717" i="6" s="1"/>
  <c r="I717" i="6" s="1"/>
  <c r="H716" i="6"/>
  <c r="F716" i="6" a="1"/>
  <c r="F716" i="6" s="1"/>
  <c r="I716" i="6" s="1"/>
  <c r="H715" i="6"/>
  <c r="F715" i="6" a="1"/>
  <c r="F715" i="6" s="1"/>
  <c r="I715" i="6" s="1"/>
  <c r="H714" i="6"/>
  <c r="F714" i="6" a="1"/>
  <c r="F714" i="6" s="1"/>
  <c r="I714" i="6" s="1"/>
  <c r="H713" i="6"/>
  <c r="F713" i="6" a="1"/>
  <c r="F713" i="6" s="1"/>
  <c r="I713" i="6" s="1"/>
  <c r="H712" i="6"/>
  <c r="F712" i="6" a="1"/>
  <c r="F712" i="6" s="1"/>
  <c r="I712" i="6" s="1"/>
  <c r="H711" i="6"/>
  <c r="F711" i="6" a="1"/>
  <c r="F711" i="6" s="1"/>
  <c r="I711" i="6" s="1"/>
  <c r="H710" i="6"/>
  <c r="F710" i="6" a="1"/>
  <c r="F710" i="6" s="1"/>
  <c r="I710" i="6" s="1"/>
  <c r="H709" i="6"/>
  <c r="F709" i="6" a="1"/>
  <c r="F709" i="6" s="1"/>
  <c r="I709" i="6" s="1"/>
  <c r="H708" i="6"/>
  <c r="F708" i="6" a="1"/>
  <c r="F708" i="6" s="1"/>
  <c r="I708" i="6" s="1"/>
  <c r="H707" i="6"/>
  <c r="F707" i="6" a="1"/>
  <c r="F707" i="6" s="1"/>
  <c r="I707" i="6" s="1"/>
  <c r="H706" i="6"/>
  <c r="F706" i="6" a="1"/>
  <c r="F706" i="6" s="1"/>
  <c r="I706" i="6" s="1"/>
  <c r="H705" i="6"/>
  <c r="F705" i="6" a="1"/>
  <c r="F705" i="6" s="1"/>
  <c r="I705" i="6" s="1"/>
  <c r="H704" i="6"/>
  <c r="F704" i="6" a="1"/>
  <c r="F704" i="6" s="1"/>
  <c r="I704" i="6" s="1"/>
  <c r="H703" i="6"/>
  <c r="F703" i="6" a="1"/>
  <c r="F703" i="6" s="1"/>
  <c r="I703" i="6" s="1"/>
  <c r="H702" i="6"/>
  <c r="F702" i="6" a="1"/>
  <c r="F702" i="6" s="1"/>
  <c r="I702" i="6" s="1"/>
  <c r="H701" i="6"/>
  <c r="F701" i="6" a="1"/>
  <c r="F701" i="6" s="1"/>
  <c r="I701" i="6" s="1"/>
  <c r="H700" i="6"/>
  <c r="F700" i="6" a="1"/>
  <c r="F700" i="6" s="1"/>
  <c r="I700" i="6" s="1"/>
  <c r="H699" i="6"/>
  <c r="F699" i="6" a="1"/>
  <c r="F699" i="6" s="1"/>
  <c r="I699" i="6" s="1"/>
  <c r="H698" i="6"/>
  <c r="F698" i="6" a="1"/>
  <c r="F698" i="6" s="1"/>
  <c r="I698" i="6" s="1"/>
  <c r="H697" i="6"/>
  <c r="F697" i="6" a="1"/>
  <c r="F697" i="6" s="1"/>
  <c r="I697" i="6" s="1"/>
  <c r="H696" i="6"/>
  <c r="F696" i="6" a="1"/>
  <c r="F696" i="6" s="1"/>
  <c r="I696" i="6" s="1"/>
  <c r="H695" i="6"/>
  <c r="F695" i="6" a="1"/>
  <c r="F695" i="6" s="1"/>
  <c r="I695" i="6" s="1"/>
  <c r="H694" i="6"/>
  <c r="F694" i="6" a="1"/>
  <c r="F694" i="6" s="1"/>
  <c r="I694" i="6" s="1"/>
  <c r="H693" i="6"/>
  <c r="F693" i="6" a="1"/>
  <c r="F693" i="6" s="1"/>
  <c r="I693" i="6" s="1"/>
  <c r="H692" i="6"/>
  <c r="F692" i="6" a="1"/>
  <c r="F692" i="6" s="1"/>
  <c r="I692" i="6" s="1"/>
  <c r="H691" i="6"/>
  <c r="F691" i="6" a="1"/>
  <c r="F691" i="6" s="1"/>
  <c r="I691" i="6" s="1"/>
  <c r="H690" i="6"/>
  <c r="F690" i="6" a="1"/>
  <c r="F690" i="6" s="1"/>
  <c r="I690" i="6" s="1"/>
  <c r="H689" i="6"/>
  <c r="F689" i="6" a="1"/>
  <c r="F689" i="6" s="1"/>
  <c r="I689" i="6" s="1"/>
  <c r="H688" i="6"/>
  <c r="F688" i="6" a="1"/>
  <c r="F688" i="6" s="1"/>
  <c r="I688" i="6" s="1"/>
  <c r="H687" i="6"/>
  <c r="F687" i="6" a="1"/>
  <c r="F687" i="6" s="1"/>
  <c r="I687" i="6" s="1"/>
  <c r="H686" i="6"/>
  <c r="F686" i="6" a="1"/>
  <c r="F686" i="6" s="1"/>
  <c r="I686" i="6" s="1"/>
  <c r="H685" i="6"/>
  <c r="F685" i="6" a="1"/>
  <c r="F685" i="6" s="1"/>
  <c r="I685" i="6" s="1"/>
  <c r="H684" i="6"/>
  <c r="F684" i="6" a="1"/>
  <c r="F684" i="6" s="1"/>
  <c r="I684" i="6" s="1"/>
  <c r="H682" i="6"/>
  <c r="F682" i="6" a="1"/>
  <c r="F682" i="6" s="1"/>
  <c r="I682" i="6" s="1"/>
  <c r="H681" i="6"/>
  <c r="F681" i="6" a="1"/>
  <c r="F681" i="6" s="1"/>
  <c r="I681" i="6" s="1"/>
  <c r="H680" i="6"/>
  <c r="F680" i="6" a="1"/>
  <c r="F680" i="6" s="1"/>
  <c r="I680" i="6" s="1"/>
  <c r="H679" i="6"/>
  <c r="F679" i="6" a="1"/>
  <c r="F679" i="6" s="1"/>
  <c r="I679" i="6" s="1"/>
  <c r="H678" i="6"/>
  <c r="F678" i="6" a="1"/>
  <c r="F678" i="6" s="1"/>
  <c r="I678" i="6" s="1"/>
  <c r="H677" i="6"/>
  <c r="F677" i="6" a="1"/>
  <c r="F677" i="6" s="1"/>
  <c r="I677" i="6" s="1"/>
  <c r="H676" i="6"/>
  <c r="F676" i="6" a="1"/>
  <c r="F676" i="6" s="1"/>
  <c r="I676" i="6" s="1"/>
  <c r="H675" i="6"/>
  <c r="F675" i="6" a="1"/>
  <c r="F675" i="6" s="1"/>
  <c r="I675" i="6" s="1"/>
  <c r="H674" i="6"/>
  <c r="F674" i="6" a="1"/>
  <c r="F674" i="6" s="1"/>
  <c r="I674" i="6" s="1"/>
  <c r="H673" i="6"/>
  <c r="F673" i="6" a="1"/>
  <c r="F673" i="6" s="1"/>
  <c r="I673" i="6" s="1"/>
  <c r="H671" i="6"/>
  <c r="F671" i="6" a="1"/>
  <c r="F671" i="6" s="1"/>
  <c r="I671" i="6" s="1"/>
  <c r="H670" i="6"/>
  <c r="F670" i="6" a="1"/>
  <c r="F670" i="6" s="1"/>
  <c r="I670" i="6" s="1"/>
  <c r="H669" i="6"/>
  <c r="F669" i="6" a="1"/>
  <c r="F669" i="6" s="1"/>
  <c r="I669" i="6" s="1"/>
  <c r="H668" i="6"/>
  <c r="F668" i="6" a="1"/>
  <c r="F668" i="6" s="1"/>
  <c r="I668" i="6" s="1"/>
  <c r="H667" i="6"/>
  <c r="F667" i="6" a="1"/>
  <c r="F667" i="6" s="1"/>
  <c r="I667" i="6" s="1"/>
  <c r="H666" i="6"/>
  <c r="F666" i="6" a="1"/>
  <c r="F666" i="6" s="1"/>
  <c r="I666" i="6" s="1"/>
  <c r="H665" i="6"/>
  <c r="F665" i="6" a="1"/>
  <c r="F665" i="6" s="1"/>
  <c r="I665" i="6" s="1"/>
  <c r="H664" i="6"/>
  <c r="F664" i="6" a="1"/>
  <c r="F664" i="6" s="1"/>
  <c r="I664" i="6" s="1"/>
  <c r="H663" i="6"/>
  <c r="F663" i="6" a="1"/>
  <c r="F663" i="6" s="1"/>
  <c r="I663" i="6" s="1"/>
  <c r="H662" i="6"/>
  <c r="F662" i="6" a="1"/>
  <c r="F662" i="6" s="1"/>
  <c r="I662" i="6" s="1"/>
  <c r="H661" i="6"/>
  <c r="F661" i="6" a="1"/>
  <c r="F661" i="6" s="1"/>
  <c r="I661" i="6" s="1"/>
  <c r="H660" i="6"/>
  <c r="F660" i="6" a="1"/>
  <c r="F660" i="6" s="1"/>
  <c r="I660" i="6" s="1"/>
  <c r="H659" i="6"/>
  <c r="F659" i="6" a="1"/>
  <c r="F659" i="6" s="1"/>
  <c r="I659" i="6" s="1"/>
  <c r="H658" i="6"/>
  <c r="F658" i="6" a="1"/>
  <c r="F658" i="6" s="1"/>
  <c r="I658" i="6" s="1"/>
  <c r="H657" i="6"/>
  <c r="F657" i="6" a="1"/>
  <c r="F657" i="6" s="1"/>
  <c r="I657" i="6" s="1"/>
  <c r="H656" i="6"/>
  <c r="F656" i="6" a="1"/>
  <c r="F656" i="6" s="1"/>
  <c r="I656" i="6" s="1"/>
  <c r="H654" i="6"/>
  <c r="F654" i="6" a="1"/>
  <c r="F654" i="6" s="1"/>
  <c r="I654" i="6" s="1"/>
  <c r="H653" i="6"/>
  <c r="F653" i="6" a="1"/>
  <c r="F653" i="6" s="1"/>
  <c r="I653" i="6" s="1"/>
  <c r="H652" i="6"/>
  <c r="F652" i="6" a="1"/>
  <c r="F652" i="6" s="1"/>
  <c r="I652" i="6" s="1"/>
  <c r="H651" i="6"/>
  <c r="F651" i="6" a="1"/>
  <c r="F651" i="6" s="1"/>
  <c r="I651" i="6" s="1"/>
  <c r="H647" i="6"/>
  <c r="F647" i="6" a="1"/>
  <c r="F647" i="6" s="1"/>
  <c r="I647" i="6" s="1"/>
  <c r="H645" i="6"/>
  <c r="F645" i="6" a="1"/>
  <c r="F645" i="6" s="1"/>
  <c r="I645" i="6" s="1"/>
  <c r="H637" i="6"/>
  <c r="F637" i="6" a="1"/>
  <c r="F637" i="6" s="1"/>
  <c r="I637" i="6" s="1"/>
  <c r="H635" i="6"/>
  <c r="F635" i="6" a="1"/>
  <c r="F635" i="6" s="1"/>
  <c r="I635" i="6" s="1"/>
  <c r="H634" i="6"/>
  <c r="F634" i="6" a="1"/>
  <c r="F634" i="6" s="1"/>
  <c r="I634" i="6" s="1"/>
  <c r="H633" i="6"/>
  <c r="F633" i="6" a="1"/>
  <c r="F633" i="6" s="1"/>
  <c r="I633" i="6" s="1"/>
  <c r="H632" i="6"/>
  <c r="F632" i="6" a="1"/>
  <c r="F632" i="6" s="1"/>
  <c r="I632" i="6" s="1"/>
  <c r="H596" i="6"/>
  <c r="F596" i="6" a="1"/>
  <c r="F596" i="6" s="1"/>
  <c r="I596" i="6" s="1"/>
  <c r="H592" i="6"/>
  <c r="F592" i="6" a="1"/>
  <c r="F592" i="6" s="1"/>
  <c r="I592" i="6" s="1"/>
  <c r="H552" i="6"/>
  <c r="F552" i="6" a="1"/>
  <c r="F552" i="6" s="1"/>
  <c r="I552" i="6" s="1"/>
  <c r="H529" i="6"/>
  <c r="F529" i="6" a="1"/>
  <c r="F529" i="6" s="1"/>
  <c r="I529" i="6" s="1"/>
  <c r="H506" i="6"/>
  <c r="F506" i="6" a="1"/>
  <c r="F506" i="6" s="1"/>
  <c r="I506" i="6" s="1"/>
  <c r="H498" i="6"/>
  <c r="F498" i="6" a="1"/>
  <c r="F498" i="6" s="1"/>
  <c r="I498" i="6" s="1"/>
  <c r="H466" i="6"/>
  <c r="F466" i="6" a="1"/>
  <c r="F466" i="6" s="1"/>
  <c r="I466" i="6" s="1"/>
  <c r="H384" i="6"/>
  <c r="F384" i="6" a="1"/>
  <c r="F384" i="6" s="1"/>
  <c r="I384" i="6" s="1"/>
  <c r="H377" i="6"/>
  <c r="F377" i="6" a="1"/>
  <c r="F377" i="6" s="1"/>
  <c r="I377" i="6" s="1"/>
  <c r="H289" i="6"/>
  <c r="F289" i="6" a="1"/>
  <c r="F289" i="6" s="1"/>
  <c r="I289" i="6" s="1"/>
  <c r="H286" i="6"/>
  <c r="F286" i="6" a="1"/>
  <c r="F286" i="6" s="1"/>
  <c r="I286" i="6" s="1"/>
  <c r="E30" i="7"/>
  <c r="E29" i="7"/>
  <c r="E28" i="7"/>
  <c r="E27" i="7"/>
  <c r="E26" i="7"/>
  <c r="E25" i="7"/>
  <c r="E24" i="7"/>
  <c r="E23" i="7"/>
  <c r="E22" i="7"/>
  <c r="E21" i="7"/>
  <c r="E20" i="7"/>
  <c r="E19" i="7"/>
  <c r="D30" i="7"/>
  <c r="D29" i="7"/>
  <c r="D28" i="7"/>
  <c r="D27" i="7"/>
  <c r="D26" i="7"/>
  <c r="D25" i="7"/>
  <c r="D24" i="7"/>
  <c r="D23" i="7"/>
  <c r="D22" i="7"/>
  <c r="D21" i="7"/>
  <c r="D20" i="7"/>
  <c r="D19" i="7"/>
  <c r="C30" i="7"/>
  <c r="C29" i="7"/>
  <c r="C28" i="7"/>
  <c r="C27" i="7"/>
  <c r="C26" i="7"/>
  <c r="C25" i="7"/>
  <c r="C24" i="7"/>
  <c r="C23" i="7"/>
  <c r="C22" i="7"/>
  <c r="C21" i="7"/>
  <c r="C20" i="7"/>
  <c r="C19" i="7"/>
  <c r="B30" i="7"/>
  <c r="B29" i="7"/>
  <c r="B28" i="7"/>
  <c r="B27" i="7"/>
  <c r="B26" i="7"/>
  <c r="B25" i="7"/>
  <c r="B24" i="7"/>
  <c r="B23" i="7"/>
  <c r="B22" i="7"/>
  <c r="B21" i="7"/>
  <c r="B20" i="7"/>
  <c r="B19" i="7"/>
  <c r="J30" i="7"/>
  <c r="J29" i="7"/>
  <c r="J28" i="7"/>
  <c r="J27" i="7"/>
  <c r="J26" i="7"/>
  <c r="J25" i="7"/>
  <c r="J24" i="7"/>
  <c r="J23" i="7"/>
  <c r="J22" i="7"/>
  <c r="J21" i="7"/>
  <c r="J20" i="7"/>
  <c r="J19" i="7"/>
  <c r="I30" i="7"/>
  <c r="I29" i="7"/>
  <c r="I28" i="7"/>
  <c r="I27" i="7"/>
  <c r="I26" i="7"/>
  <c r="I25" i="7"/>
  <c r="I24" i="7"/>
  <c r="I23" i="7"/>
  <c r="I22" i="7"/>
  <c r="I21" i="7"/>
  <c r="I20" i="7"/>
  <c r="J14" i="7"/>
  <c r="J13" i="7"/>
  <c r="J12" i="7"/>
  <c r="J11" i="7"/>
  <c r="J10" i="7"/>
  <c r="J9" i="7"/>
  <c r="J8" i="7"/>
  <c r="J7" i="7"/>
  <c r="J6" i="7"/>
  <c r="J5" i="7"/>
  <c r="J4" i="7"/>
  <c r="J3" i="7"/>
  <c r="I14" i="7"/>
  <c r="I13" i="7"/>
  <c r="I12" i="7"/>
  <c r="I11" i="7"/>
  <c r="I10" i="7"/>
  <c r="I9" i="7"/>
  <c r="I8" i="7"/>
  <c r="I7" i="7"/>
  <c r="I6" i="7"/>
  <c r="I5" i="7"/>
  <c r="I4" i="7"/>
  <c r="I3" i="7"/>
  <c r="I19" i="7"/>
  <c r="L30" i="7"/>
  <c r="L29" i="7"/>
  <c r="L28" i="7"/>
  <c r="L27" i="7"/>
  <c r="L26" i="7"/>
  <c r="L25" i="7"/>
  <c r="L24" i="7"/>
  <c r="L23" i="7"/>
  <c r="L22" i="7"/>
  <c r="L21" i="7"/>
  <c r="L20" i="7"/>
  <c r="L19" i="7"/>
  <c r="K30" i="7"/>
  <c r="K29" i="7"/>
  <c r="K28" i="7"/>
  <c r="K27" i="7"/>
  <c r="K26" i="7"/>
  <c r="K25" i="7"/>
  <c r="K24" i="7"/>
  <c r="K23" i="7"/>
  <c r="K22" i="7"/>
  <c r="K21" i="7"/>
  <c r="K20" i="7"/>
  <c r="K19" i="7"/>
  <c r="L14" i="7"/>
  <c r="L13" i="7"/>
  <c r="L12" i="7"/>
  <c r="L10" i="7"/>
  <c r="L9" i="7"/>
  <c r="L8" i="7"/>
  <c r="L7" i="7"/>
  <c r="L6" i="7"/>
  <c r="L5" i="7"/>
  <c r="L4" i="7"/>
  <c r="L3" i="7"/>
  <c r="K14" i="7"/>
  <c r="K13" i="7"/>
  <c r="K12" i="7"/>
  <c r="K11" i="7"/>
  <c r="K10" i="7"/>
  <c r="K9" i="7"/>
  <c r="K8" i="7"/>
  <c r="K7" i="7"/>
  <c r="K6" i="7"/>
  <c r="K5" i="7"/>
  <c r="K4" i="7"/>
  <c r="K3" i="7"/>
  <c r="L11" i="7"/>
  <c r="E14" i="7"/>
  <c r="E13" i="7"/>
  <c r="E12" i="7"/>
  <c r="E11" i="7"/>
  <c r="E10" i="7"/>
  <c r="E9" i="7"/>
  <c r="E8" i="7"/>
  <c r="E7" i="7"/>
  <c r="E6" i="7"/>
  <c r="E5" i="7"/>
  <c r="E4" i="7"/>
  <c r="E3" i="7"/>
  <c r="D14" i="7"/>
  <c r="D13" i="7"/>
  <c r="D12" i="7"/>
  <c r="D11" i="7"/>
  <c r="D10" i="7"/>
  <c r="D9" i="7"/>
  <c r="D8" i="7"/>
  <c r="D7" i="7"/>
  <c r="D6" i="7"/>
  <c r="D5" i="7"/>
  <c r="D4" i="7"/>
  <c r="D3" i="7"/>
  <c r="C14" i="7"/>
  <c r="C13" i="7"/>
  <c r="C12" i="7"/>
  <c r="C11" i="7"/>
  <c r="C10" i="7"/>
  <c r="C9" i="7"/>
  <c r="C8" i="7"/>
  <c r="C7" i="7"/>
  <c r="C6" i="7"/>
  <c r="C5" i="7"/>
  <c r="C4" i="7"/>
  <c r="B14" i="7"/>
  <c r="B13" i="7"/>
  <c r="B12" i="7"/>
  <c r="B11" i="7"/>
  <c r="B10" i="7"/>
  <c r="B9" i="7"/>
  <c r="B8" i="7"/>
  <c r="B7" i="7"/>
  <c r="B6" i="7"/>
  <c r="B5" i="7"/>
  <c r="B4" i="7"/>
  <c r="C3" i="7"/>
  <c r="B3" i="7"/>
  <c r="F179" i="6" a="1"/>
  <c r="F179" i="6" s="1"/>
  <c r="I179" i="6" s="1"/>
  <c r="F180" i="6" a="1"/>
  <c r="F180" i="6" s="1"/>
  <c r="I180" i="6" s="1"/>
  <c r="F181" i="6" a="1"/>
  <c r="F181" i="6" s="1"/>
  <c r="I181" i="6" s="1"/>
  <c r="F182" i="6" a="1"/>
  <c r="F182" i="6" s="1"/>
  <c r="I182" i="6" s="1"/>
  <c r="F183" i="6" a="1"/>
  <c r="F183" i="6" s="1"/>
  <c r="I183" i="6" s="1"/>
  <c r="F184" i="6" a="1"/>
  <c r="F184" i="6" s="1"/>
  <c r="I184" i="6" s="1"/>
  <c r="F185" i="6" a="1"/>
  <c r="F185" i="6" s="1"/>
  <c r="I185" i="6" s="1"/>
  <c r="F186" i="6" a="1"/>
  <c r="F186" i="6" s="1"/>
  <c r="I186" i="6" s="1"/>
  <c r="F187" i="6" a="1"/>
  <c r="F187" i="6" s="1"/>
  <c r="I187" i="6" s="1"/>
  <c r="F188" i="6" a="1"/>
  <c r="F188" i="6" s="1"/>
  <c r="I188" i="6" s="1"/>
  <c r="F189" i="6" a="1"/>
  <c r="F189" i="6" s="1"/>
  <c r="I189" i="6" s="1"/>
  <c r="F190" i="6" a="1"/>
  <c r="F190" i="6" s="1"/>
  <c r="I190" i="6" s="1"/>
  <c r="F191" i="6" a="1"/>
  <c r="F191" i="6" s="1"/>
  <c r="I191" i="6" s="1"/>
  <c r="F192" i="6" a="1"/>
  <c r="F192" i="6" s="1"/>
  <c r="I192" i="6" s="1"/>
  <c r="F193" i="6" a="1"/>
  <c r="F193" i="6" s="1"/>
  <c r="I193" i="6" s="1"/>
  <c r="F194" i="6" a="1"/>
  <c r="F194" i="6" s="1"/>
  <c r="I194" i="6" s="1"/>
  <c r="F195" i="6" a="1"/>
  <c r="F195" i="6" s="1"/>
  <c r="I195" i="6" s="1"/>
  <c r="F197" i="6" a="1"/>
  <c r="F197" i="6" s="1"/>
  <c r="I197" i="6" s="1"/>
  <c r="F198" i="6" a="1"/>
  <c r="F198" i="6" s="1"/>
  <c r="I198" i="6" s="1"/>
  <c r="F213" i="6" a="1"/>
  <c r="F213" i="6" s="1"/>
  <c r="I213" i="6" s="1"/>
  <c r="F212" i="6" a="1"/>
  <c r="F212" i="6" s="1"/>
  <c r="I212" i="6" s="1"/>
  <c r="F211" i="6" a="1"/>
  <c r="F211" i="6" s="1"/>
  <c r="I211" i="6" s="1"/>
  <c r="F209" i="6" a="1"/>
  <c r="F209" i="6" s="1"/>
  <c r="I209" i="6" s="1"/>
  <c r="F208" i="6" a="1"/>
  <c r="F208" i="6" s="1"/>
  <c r="I208" i="6" s="1"/>
  <c r="F207" i="6" a="1"/>
  <c r="F207" i="6" s="1"/>
  <c r="I207" i="6" s="1"/>
  <c r="F206" i="6" a="1"/>
  <c r="F206" i="6" s="1"/>
  <c r="I206" i="6" s="1"/>
  <c r="F205" i="6" a="1"/>
  <c r="F205" i="6" s="1"/>
  <c r="I205" i="6" s="1"/>
  <c r="F204" i="6" a="1"/>
  <c r="F204" i="6" s="1"/>
  <c r="I204" i="6" s="1"/>
  <c r="F203" i="6" a="1"/>
  <c r="F203" i="6" s="1"/>
  <c r="I203" i="6" s="1"/>
  <c r="F202" i="6" a="1"/>
  <c r="F202" i="6" s="1"/>
  <c r="I202" i="6" s="1"/>
  <c r="F201" i="6" a="1"/>
  <c r="F201" i="6" s="1"/>
  <c r="I201" i="6" s="1"/>
  <c r="F200" i="6" a="1"/>
  <c r="F200" i="6" s="1"/>
  <c r="I200" i="6" s="1"/>
  <c r="F199" i="6" a="1"/>
  <c r="F199" i="6" s="1"/>
  <c r="I199" i="6" s="1"/>
  <c r="F215" i="6" a="1"/>
  <c r="F215" i="6" s="1"/>
  <c r="I215" i="6" s="1"/>
  <c r="F219" i="6" a="1"/>
  <c r="F219" i="6" s="1"/>
  <c r="I219" i="6" s="1"/>
  <c r="F224" i="6" a="1"/>
  <c r="F224" i="6" s="1"/>
  <c r="F225" i="6" a="1"/>
  <c r="F225" i="6" s="1"/>
  <c r="F226" i="6" a="1"/>
  <c r="F226" i="6" s="1"/>
  <c r="F227" i="6" a="1"/>
  <c r="F227" i="6" s="1"/>
  <c r="F228" i="6" a="1"/>
  <c r="F228" i="6" s="1"/>
  <c r="F229" i="6" a="1"/>
  <c r="F229" i="6" s="1"/>
  <c r="F236" i="6" a="1"/>
  <c r="F236" i="6" s="1"/>
  <c r="I236" i="6" s="1"/>
  <c r="H242" i="6"/>
  <c r="H239" i="6"/>
  <c r="H236" i="6"/>
  <c r="H229" i="6"/>
  <c r="H228" i="6"/>
  <c r="H227" i="6"/>
  <c r="H226" i="6"/>
  <c r="H225" i="6"/>
  <c r="H224" i="6"/>
  <c r="H219" i="6"/>
  <c r="H215" i="6"/>
  <c r="H213" i="6"/>
  <c r="H212" i="6"/>
  <c r="H211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H179" i="6"/>
  <c r="F239" i="6" a="1"/>
  <c r="F239" i="6" s="1"/>
  <c r="I239" i="6" s="1"/>
  <c r="F242" i="6" a="1"/>
  <c r="F242" i="6" s="1"/>
  <c r="I242" i="6" s="1"/>
  <c r="H171" i="6"/>
  <c r="H174" i="6"/>
  <c r="M47" i="7" l="1"/>
  <c r="M33" i="7" s="1"/>
  <c r="M47" i="8"/>
  <c r="M33" i="8" s="1"/>
  <c r="F47" i="8"/>
  <c r="F33" i="8" s="1"/>
  <c r="M3" i="8"/>
  <c r="F28" i="8"/>
  <c r="F29" i="8"/>
  <c r="C31" i="8"/>
  <c r="I15" i="8"/>
  <c r="M29" i="8"/>
  <c r="F30" i="8"/>
  <c r="C15" i="8"/>
  <c r="D15" i="8"/>
  <c r="E15" i="8"/>
  <c r="F27" i="8"/>
  <c r="M30" i="8"/>
  <c r="K31" i="8"/>
  <c r="F12" i="8"/>
  <c r="F13" i="8"/>
  <c r="F14" i="8"/>
  <c r="M28" i="8"/>
  <c r="M21" i="8"/>
  <c r="M24" i="8"/>
  <c r="F26" i="8"/>
  <c r="L15" i="8"/>
  <c r="F7" i="8"/>
  <c r="F20" i="8"/>
  <c r="F21" i="8"/>
  <c r="F6" i="8"/>
  <c r="F22" i="8"/>
  <c r="F23" i="8"/>
  <c r="F24" i="8"/>
  <c r="F25" i="8"/>
  <c r="E31" i="8"/>
  <c r="M25" i="8"/>
  <c r="J31" i="8"/>
  <c r="K15" i="8"/>
  <c r="M20" i="8"/>
  <c r="M22" i="8"/>
  <c r="M23" i="8"/>
  <c r="M26" i="8"/>
  <c r="M27" i="8"/>
  <c r="F8" i="8"/>
  <c r="F10" i="8"/>
  <c r="F11" i="8"/>
  <c r="F19" i="8"/>
  <c r="B31" i="8"/>
  <c r="L31" i="8"/>
  <c r="F9" i="8"/>
  <c r="M6" i="8"/>
  <c r="M7" i="8"/>
  <c r="M8" i="8"/>
  <c r="M9" i="8"/>
  <c r="M10" i="8"/>
  <c r="M11" i="8"/>
  <c r="M12" i="8"/>
  <c r="M13" i="8"/>
  <c r="M14" i="8"/>
  <c r="M19" i="8"/>
  <c r="P20" i="5"/>
  <c r="F5" i="8"/>
  <c r="P10" i="5"/>
  <c r="P4" i="5"/>
  <c r="P36" i="5"/>
  <c r="P28" i="5"/>
  <c r="F4" i="8"/>
  <c r="M4" i="8"/>
  <c r="M5" i="8"/>
  <c r="F3" i="8"/>
  <c r="J15" i="8"/>
  <c r="D31" i="8"/>
  <c r="B15" i="8"/>
  <c r="I31" i="8"/>
  <c r="C15" i="7"/>
  <c r="E15" i="7"/>
  <c r="L31" i="7"/>
  <c r="J31" i="7"/>
  <c r="C31" i="7"/>
  <c r="E31" i="7"/>
  <c r="B15" i="7"/>
  <c r="D15" i="7"/>
  <c r="K31" i="7"/>
  <c r="I31" i="7"/>
  <c r="B31" i="7"/>
  <c r="D31" i="7"/>
  <c r="K15" i="7"/>
  <c r="I15" i="7"/>
  <c r="L15" i="7"/>
  <c r="J15" i="7"/>
  <c r="F4" i="7"/>
  <c r="F12" i="7"/>
  <c r="F11" i="7"/>
  <c r="F9" i="7"/>
  <c r="F13" i="7"/>
  <c r="F5" i="7"/>
  <c r="F6" i="7"/>
  <c r="F14" i="7"/>
  <c r="F7" i="7"/>
  <c r="F8" i="7"/>
  <c r="F3" i="7"/>
  <c r="F10" i="7"/>
  <c r="F30" i="7"/>
  <c r="F29" i="7"/>
  <c r="F28" i="7"/>
  <c r="F27" i="7"/>
  <c r="F26" i="7"/>
  <c r="F25" i="7"/>
  <c r="F24" i="7"/>
  <c r="F23" i="7"/>
  <c r="F22" i="7"/>
  <c r="F21" i="7"/>
  <c r="F20" i="7"/>
  <c r="F19" i="7"/>
  <c r="M30" i="7"/>
  <c r="M29" i="7"/>
  <c r="M28" i="7"/>
  <c r="M27" i="7"/>
  <c r="M26" i="7"/>
  <c r="M25" i="7"/>
  <c r="M24" i="7"/>
  <c r="M23" i="7"/>
  <c r="M22" i="7"/>
  <c r="M21" i="7"/>
  <c r="M20" i="7"/>
  <c r="M19" i="7"/>
  <c r="M14" i="7"/>
  <c r="M13" i="7"/>
  <c r="M12" i="7"/>
  <c r="M11" i="7"/>
  <c r="M10" i="7"/>
  <c r="M8" i="7"/>
  <c r="M7" i="7"/>
  <c r="M6" i="7"/>
  <c r="M5" i="7"/>
  <c r="M4" i="7"/>
  <c r="M3" i="7"/>
  <c r="M9" i="7"/>
  <c r="N3" i="8" l="1"/>
  <c r="N4" i="8"/>
  <c r="N7" i="8"/>
  <c r="N6" i="8"/>
  <c r="N9" i="8"/>
  <c r="N5" i="8"/>
  <c r="N8" i="8"/>
  <c r="M15" i="8"/>
  <c r="F31" i="8"/>
  <c r="M31" i="8"/>
  <c r="F15" i="8"/>
  <c r="F31" i="7"/>
  <c r="M31" i="7"/>
  <c r="M17" i="7" s="1"/>
  <c r="M15" i="7"/>
  <c r="M1" i="7" s="1"/>
  <c r="F15" i="7"/>
  <c r="M17" i="8" l="1"/>
  <c r="F17" i="8"/>
  <c r="M1" i="8"/>
  <c r="F17" i="7"/>
  <c r="H146" i="6" l="1"/>
  <c r="H155" i="6"/>
  <c r="H163" i="6"/>
  <c r="H110" i="6"/>
  <c r="H64" i="6"/>
  <c r="H63" i="6"/>
  <c r="H14" i="5"/>
  <c r="H16" i="5"/>
  <c r="H20" i="5"/>
  <c r="H35" i="6"/>
  <c r="H128" i="5"/>
  <c r="F128" i="5" a="1"/>
  <c r="F128" i="5" s="1"/>
  <c r="I128" i="5" s="1"/>
  <c r="H127" i="5"/>
  <c r="F127" i="5" a="1"/>
  <c r="F127" i="5" s="1"/>
  <c r="I127" i="5" s="1"/>
  <c r="H116" i="5"/>
  <c r="F116" i="5" a="1"/>
  <c r="F116" i="5" s="1"/>
  <c r="I116" i="5" s="1"/>
  <c r="H115" i="5"/>
  <c r="F115" i="5" a="1"/>
  <c r="F115" i="5" s="1"/>
  <c r="I115" i="5" s="1"/>
  <c r="H114" i="5"/>
  <c r="F114" i="5" a="1"/>
  <c r="F114" i="5" s="1"/>
  <c r="I114" i="5" s="1"/>
  <c r="H113" i="5"/>
  <c r="F113" i="5" a="1"/>
  <c r="F113" i="5" s="1"/>
  <c r="I113" i="5" s="1"/>
  <c r="H108" i="5"/>
  <c r="F108" i="5" a="1"/>
  <c r="F108" i="5" s="1"/>
  <c r="I108" i="5" s="1"/>
  <c r="H107" i="5"/>
  <c r="F107" i="5" a="1"/>
  <c r="F107" i="5" s="1"/>
  <c r="I107" i="5" s="1"/>
  <c r="H102" i="5"/>
  <c r="F102" i="5" a="1"/>
  <c r="F102" i="5" s="1"/>
  <c r="I102" i="5" s="1"/>
  <c r="H98" i="5"/>
  <c r="F98" i="5" a="1"/>
  <c r="F98" i="5" s="1"/>
  <c r="I98" i="5" s="1"/>
  <c r="H96" i="5"/>
  <c r="F96" i="5" a="1"/>
  <c r="F96" i="5" s="1"/>
  <c r="I96" i="5" s="1"/>
  <c r="H71" i="5"/>
  <c r="F71" i="5" a="1"/>
  <c r="F71" i="5" s="1"/>
  <c r="I71" i="5" s="1"/>
  <c r="H69" i="5"/>
  <c r="F69" i="5" a="1"/>
  <c r="F69" i="5" s="1"/>
  <c r="I69" i="5" s="1"/>
  <c r="H68" i="5"/>
  <c r="F68" i="5" a="1"/>
  <c r="F68" i="5" s="1"/>
  <c r="I68" i="5" s="1"/>
  <c r="H67" i="5"/>
  <c r="F67" i="5" a="1"/>
  <c r="F67" i="5" s="1"/>
  <c r="I67" i="5" s="1"/>
  <c r="H59" i="5"/>
  <c r="F59" i="5" a="1"/>
  <c r="F59" i="5" s="1"/>
  <c r="I59" i="5" s="1"/>
  <c r="H58" i="5"/>
  <c r="F58" i="5" a="1"/>
  <c r="F58" i="5" s="1"/>
  <c r="I58" i="5" s="1"/>
  <c r="H57" i="5"/>
  <c r="F57" i="5" a="1"/>
  <c r="F57" i="5" s="1"/>
  <c r="I57" i="5" s="1"/>
  <c r="H56" i="5"/>
  <c r="F56" i="5" a="1"/>
  <c r="F56" i="5" s="1"/>
  <c r="I56" i="5" s="1"/>
  <c r="H55" i="5"/>
  <c r="F55" i="5" a="1"/>
  <c r="F55" i="5" s="1"/>
  <c r="I55" i="5" s="1"/>
  <c r="H54" i="5"/>
  <c r="F54" i="5" a="1"/>
  <c r="F54" i="5" s="1"/>
  <c r="I54" i="5" s="1"/>
  <c r="H53" i="5"/>
  <c r="F53" i="5" a="1"/>
  <c r="F53" i="5" s="1"/>
  <c r="I53" i="5" s="1"/>
  <c r="H51" i="5"/>
  <c r="F51" i="5" a="1"/>
  <c r="F51" i="5" s="1"/>
  <c r="I51" i="5" s="1"/>
  <c r="H30" i="5"/>
  <c r="F30" i="5" a="1"/>
  <c r="F30" i="5" s="1"/>
  <c r="I30" i="5" s="1"/>
  <c r="H29" i="5"/>
  <c r="F29" i="5" a="1"/>
  <c r="F29" i="5" s="1"/>
  <c r="I29" i="5" s="1"/>
  <c r="H23" i="5"/>
  <c r="F23" i="5" a="1"/>
  <c r="F23" i="5" s="1"/>
  <c r="I23" i="5" s="1"/>
  <c r="H12" i="5"/>
  <c r="F12" i="5" a="1"/>
  <c r="F12" i="5" s="1"/>
  <c r="I12" i="5" s="1"/>
  <c r="H13" i="5"/>
  <c r="F13" i="5" a="1"/>
  <c r="F13" i="5" s="1"/>
  <c r="I13" i="5" s="1"/>
  <c r="F14" i="5" a="1"/>
  <c r="F14" i="5" s="1"/>
  <c r="I14" i="5" s="1"/>
  <c r="F16" i="5" a="1"/>
  <c r="F16" i="5" s="1"/>
  <c r="I16" i="5" s="1"/>
  <c r="H17" i="5"/>
  <c r="F17" i="5" a="1"/>
  <c r="F17" i="5" s="1"/>
  <c r="I17" i="5" s="1"/>
  <c r="F20" i="5" a="1"/>
  <c r="F20" i="5" s="1"/>
  <c r="I20" i="5" s="1"/>
  <c r="H21" i="5"/>
  <c r="F21" i="5" a="1"/>
  <c r="F21" i="5" s="1"/>
  <c r="I21" i="5" s="1"/>
  <c r="H27" i="5"/>
  <c r="F27" i="5" a="1"/>
  <c r="F27" i="5" s="1"/>
  <c r="I27" i="5" s="1"/>
  <c r="H31" i="5"/>
  <c r="F31" i="5" a="1"/>
  <c r="F31" i="5" s="1"/>
  <c r="I31" i="5" s="1"/>
  <c r="H32" i="5"/>
  <c r="F32" i="5" a="1"/>
  <c r="F32" i="5" s="1"/>
  <c r="I32" i="5" s="1"/>
  <c r="H33" i="5"/>
  <c r="F33" i="5" a="1"/>
  <c r="F33" i="5" s="1"/>
  <c r="I33" i="5" s="1"/>
  <c r="H34" i="5"/>
  <c r="F34" i="5" a="1"/>
  <c r="F34" i="5" s="1"/>
  <c r="I34" i="5" s="1"/>
  <c r="H36" i="5"/>
  <c r="F36" i="5" a="1"/>
  <c r="F36" i="5" s="1"/>
  <c r="I36" i="5" s="1"/>
  <c r="H41" i="5"/>
  <c r="F41" i="5" a="1"/>
  <c r="F41" i="5" s="1"/>
  <c r="I41" i="5" s="1"/>
  <c r="H42" i="5"/>
  <c r="F42" i="5" a="1"/>
  <c r="F42" i="5" s="1"/>
  <c r="I42" i="5" s="1"/>
  <c r="H43" i="5"/>
  <c r="F43" i="5" a="1"/>
  <c r="F43" i="5" s="1"/>
  <c r="I43" i="5" s="1"/>
  <c r="H44" i="5"/>
  <c r="F44" i="5" a="1"/>
  <c r="F44" i="5" s="1"/>
  <c r="I44" i="5" s="1"/>
  <c r="H45" i="5"/>
  <c r="F45" i="5" a="1"/>
  <c r="F45" i="5" s="1"/>
  <c r="I45" i="5" s="1"/>
  <c r="H61" i="5"/>
  <c r="F61" i="5" a="1"/>
  <c r="F61" i="5" s="1"/>
  <c r="I61" i="5" s="1"/>
  <c r="H62" i="5"/>
  <c r="F62" i="5" a="1"/>
  <c r="F62" i="5" s="1"/>
  <c r="I62" i="5" s="1"/>
  <c r="H63" i="5"/>
  <c r="F63" i="5" a="1"/>
  <c r="F63" i="5" s="1"/>
  <c r="I63" i="5" s="1"/>
  <c r="H64" i="5"/>
  <c r="F64" i="5" a="1"/>
  <c r="F64" i="5" s="1"/>
  <c r="I64" i="5" s="1"/>
  <c r="H65" i="5"/>
  <c r="F65" i="5" a="1"/>
  <c r="F65" i="5" s="1"/>
  <c r="I65" i="5" s="1"/>
  <c r="H70" i="5"/>
  <c r="F70" i="5" a="1"/>
  <c r="F70" i="5" s="1"/>
  <c r="I70" i="5" s="1"/>
  <c r="H72" i="5"/>
  <c r="F72" i="5" a="1"/>
  <c r="F72" i="5" s="1"/>
  <c r="I72" i="5" s="1"/>
  <c r="H73" i="5"/>
  <c r="F73" i="5" a="1"/>
  <c r="F73" i="5" s="1"/>
  <c r="I73" i="5" s="1"/>
  <c r="H74" i="5"/>
  <c r="F74" i="5" a="1"/>
  <c r="F74" i="5" s="1"/>
  <c r="I74" i="5" s="1"/>
  <c r="H76" i="5"/>
  <c r="F76" i="5" a="1"/>
  <c r="F76" i="5" s="1"/>
  <c r="I76" i="5" s="1"/>
  <c r="H78" i="5"/>
  <c r="F78" i="5" a="1"/>
  <c r="F78" i="5" s="1"/>
  <c r="I78" i="5" s="1"/>
  <c r="H82" i="5"/>
  <c r="F82" i="5" a="1"/>
  <c r="F82" i="5" s="1"/>
  <c r="I82" i="5" s="1"/>
  <c r="H83" i="5"/>
  <c r="F83" i="5" a="1"/>
  <c r="F83" i="5" s="1"/>
  <c r="I83" i="5" s="1"/>
  <c r="H85" i="5"/>
  <c r="F85" i="5" a="1"/>
  <c r="F85" i="5" s="1"/>
  <c r="I85" i="5" s="1"/>
  <c r="H86" i="5"/>
  <c r="F86" i="5" a="1"/>
  <c r="F86" i="5" s="1"/>
  <c r="I86" i="5" s="1"/>
  <c r="H92" i="5"/>
  <c r="F92" i="5" a="1"/>
  <c r="F92" i="5" s="1"/>
  <c r="I92" i="5" s="1"/>
  <c r="H93" i="5"/>
  <c r="F93" i="5" a="1"/>
  <c r="F93" i="5" s="1"/>
  <c r="I93" i="5" s="1"/>
  <c r="H94" i="5"/>
  <c r="F94" i="5" a="1"/>
  <c r="F94" i="5" s="1"/>
  <c r="I94" i="5" s="1"/>
  <c r="H101" i="5"/>
  <c r="F101" i="5" a="1"/>
  <c r="F101" i="5" s="1"/>
  <c r="I101" i="5" s="1"/>
  <c r="H103" i="5"/>
  <c r="F103" i="5" a="1"/>
  <c r="F103" i="5" s="1"/>
  <c r="I103" i="5" s="1"/>
  <c r="H104" i="5"/>
  <c r="F104" i="5" a="1"/>
  <c r="F104" i="5" s="1"/>
  <c r="I104" i="5" s="1"/>
  <c r="H110" i="5"/>
  <c r="F110" i="5" a="1"/>
  <c r="F110" i="5" s="1"/>
  <c r="I110" i="5" s="1"/>
  <c r="H117" i="5"/>
  <c r="F117" i="5" a="1"/>
  <c r="F117" i="5" s="1"/>
  <c r="I117" i="5" s="1"/>
  <c r="H52" i="5"/>
  <c r="F52" i="5" a="1"/>
  <c r="F52" i="5" s="1"/>
  <c r="I52" i="5" s="1"/>
  <c r="H28" i="5"/>
  <c r="F28" i="5" a="1"/>
  <c r="F28" i="5" s="1"/>
  <c r="I28" i="5" s="1"/>
  <c r="H40" i="5"/>
  <c r="F40" i="5" a="1"/>
  <c r="F40" i="5" s="1"/>
  <c r="I40" i="5" s="1"/>
  <c r="H47" i="5"/>
  <c r="F47" i="5" a="1"/>
  <c r="F47" i="5" s="1"/>
  <c r="I47" i="5" s="1"/>
  <c r="H66" i="5"/>
  <c r="F66" i="5" a="1"/>
  <c r="F66" i="5" s="1"/>
  <c r="I66" i="5" s="1"/>
  <c r="H88" i="5"/>
  <c r="F88" i="5" a="1"/>
  <c r="F88" i="5" s="1"/>
  <c r="I88" i="5" s="1"/>
  <c r="H89" i="5"/>
  <c r="F89" i="5" a="1"/>
  <c r="F89" i="5" s="1"/>
  <c r="I89" i="5" s="1"/>
  <c r="H90" i="5"/>
  <c r="F90" i="5" a="1"/>
  <c r="F90" i="5" s="1"/>
  <c r="I90" i="5" s="1"/>
  <c r="H97" i="5"/>
  <c r="F97" i="5" a="1"/>
  <c r="F97" i="5" s="1"/>
  <c r="I97" i="5" s="1"/>
  <c r="H100" i="5"/>
  <c r="F100" i="5" a="1"/>
  <c r="F100" i="5" s="1"/>
  <c r="I100" i="5" s="1"/>
  <c r="H125" i="5"/>
  <c r="F125" i="5" a="1"/>
  <c r="F125" i="5" s="1"/>
  <c r="I125" i="5" s="1"/>
  <c r="H120" i="5"/>
  <c r="F120" i="5" a="1"/>
  <c r="F120" i="5" s="1"/>
  <c r="I120" i="5" s="1"/>
  <c r="H126" i="5"/>
  <c r="F126" i="5" a="1"/>
  <c r="F126" i="5" s="1"/>
  <c r="I126" i="5" s="1"/>
  <c r="H124" i="5"/>
  <c r="F124" i="5" a="1"/>
  <c r="F124" i="5" s="1"/>
  <c r="I124" i="5" s="1"/>
  <c r="H106" i="5"/>
  <c r="F106" i="5" a="1"/>
  <c r="F106" i="5" s="1"/>
  <c r="I106" i="5" s="1"/>
  <c r="H91" i="5"/>
  <c r="F91" i="5" a="1"/>
  <c r="F91" i="5" s="1"/>
  <c r="I91" i="5" s="1"/>
  <c r="H60" i="5"/>
  <c r="F60" i="5" a="1"/>
  <c r="F60" i="5" s="1"/>
  <c r="I60" i="5" s="1"/>
  <c r="H49" i="5"/>
  <c r="F49" i="5" a="1"/>
  <c r="F49" i="5" s="1"/>
  <c r="I49" i="5" s="1"/>
  <c r="H24" i="5"/>
  <c r="F24" i="5" a="1"/>
  <c r="F24" i="5" s="1"/>
  <c r="I24" i="5" s="1"/>
  <c r="H18" i="5"/>
  <c r="F18" i="5" a="1"/>
  <c r="F18" i="5" s="1"/>
  <c r="I18" i="5" s="1"/>
  <c r="H170" i="6"/>
  <c r="F170" i="6" a="1"/>
  <c r="F170" i="6" s="1"/>
  <c r="I170" i="6" s="1"/>
  <c r="F171" i="6" a="1"/>
  <c r="F171" i="6" s="1"/>
  <c r="I171" i="6" s="1"/>
  <c r="H172" i="6"/>
  <c r="F172" i="6" a="1"/>
  <c r="F172" i="6" s="1"/>
  <c r="I172" i="6" s="1"/>
  <c r="H173" i="6"/>
  <c r="F173" i="6" a="1"/>
  <c r="F173" i="6" s="1"/>
  <c r="I173" i="6" s="1"/>
  <c r="F174" i="6" a="1"/>
  <c r="F174" i="6" s="1"/>
  <c r="I174" i="6" s="1"/>
  <c r="H175" i="6"/>
  <c r="F175" i="6" a="1"/>
  <c r="F175" i="6" s="1"/>
  <c r="I175" i="6" s="1"/>
  <c r="H176" i="6"/>
  <c r="F176" i="6" a="1"/>
  <c r="F176" i="6" s="1"/>
  <c r="I176" i="6" s="1"/>
  <c r="H177" i="6"/>
  <c r="F177" i="6" a="1"/>
  <c r="F177" i="6" s="1"/>
  <c r="I177" i="6" s="1"/>
  <c r="H178" i="6"/>
  <c r="F178" i="6" a="1"/>
  <c r="F178" i="6" s="1"/>
  <c r="I178" i="6" s="1"/>
  <c r="H3" i="6"/>
  <c r="F3" i="6" a="1"/>
  <c r="F3" i="6" s="1"/>
  <c r="I3" i="6" s="1"/>
  <c r="H111" i="6"/>
  <c r="F111" i="6" a="1"/>
  <c r="F111" i="6" s="1"/>
  <c r="I111" i="6" s="1"/>
  <c r="H112" i="6"/>
  <c r="F112" i="6" a="1"/>
  <c r="F112" i="6" s="1"/>
  <c r="I112" i="6" s="1"/>
  <c r="H113" i="6"/>
  <c r="F113" i="6" a="1"/>
  <c r="F113" i="6" s="1"/>
  <c r="I113" i="6" s="1"/>
  <c r="H115" i="6"/>
  <c r="F115" i="6" a="1"/>
  <c r="F115" i="6" s="1"/>
  <c r="I115" i="6" s="1"/>
  <c r="H116" i="6"/>
  <c r="F116" i="6" a="1"/>
  <c r="F116" i="6" s="1"/>
  <c r="I116" i="6" s="1"/>
  <c r="H117" i="6"/>
  <c r="F117" i="6" a="1"/>
  <c r="F117" i="6" s="1"/>
  <c r="I117" i="6" s="1"/>
  <c r="H118" i="6"/>
  <c r="F118" i="6" a="1"/>
  <c r="F118" i="6" s="1"/>
  <c r="I118" i="6" s="1"/>
  <c r="H120" i="6"/>
  <c r="F120" i="6" a="1"/>
  <c r="F120" i="6" s="1"/>
  <c r="I120" i="6" s="1"/>
  <c r="H130" i="6"/>
  <c r="F130" i="6" a="1"/>
  <c r="F130" i="6" s="1"/>
  <c r="I130" i="6" s="1"/>
  <c r="H137" i="6"/>
  <c r="F137" i="6" a="1"/>
  <c r="F137" i="6" s="1"/>
  <c r="I137" i="6" s="1"/>
  <c r="H138" i="6"/>
  <c r="F138" i="6" a="1"/>
  <c r="F138" i="6" s="1"/>
  <c r="I138" i="6" s="1"/>
  <c r="H139" i="6"/>
  <c r="F139" i="6" a="1"/>
  <c r="F139" i="6" s="1"/>
  <c r="I139" i="6" s="1"/>
  <c r="H140" i="6"/>
  <c r="F140" i="6" a="1"/>
  <c r="F140" i="6" s="1"/>
  <c r="I140" i="6" s="1"/>
  <c r="H141" i="6"/>
  <c r="F141" i="6" a="1"/>
  <c r="F141" i="6" s="1"/>
  <c r="I141" i="6" s="1"/>
  <c r="H143" i="6"/>
  <c r="F143" i="6" a="1"/>
  <c r="F143" i="6" s="1"/>
  <c r="I143" i="6" s="1"/>
  <c r="H144" i="6"/>
  <c r="F144" i="6" a="1"/>
  <c r="F144" i="6" s="1"/>
  <c r="I144" i="6" s="1"/>
  <c r="H145" i="6"/>
  <c r="F145" i="6" a="1"/>
  <c r="F145" i="6" s="1"/>
  <c r="I145" i="6" s="1"/>
  <c r="F146" i="6" a="1"/>
  <c r="F146" i="6" s="1"/>
  <c r="I146" i="6" s="1"/>
  <c r="H147" i="6"/>
  <c r="F147" i="6" a="1"/>
  <c r="F147" i="6" s="1"/>
  <c r="I147" i="6" s="1"/>
  <c r="H148" i="6"/>
  <c r="F148" i="6" a="1"/>
  <c r="F148" i="6" s="1"/>
  <c r="I148" i="6" s="1"/>
  <c r="H149" i="6"/>
  <c r="F149" i="6" a="1"/>
  <c r="F149" i="6" s="1"/>
  <c r="I149" i="6" s="1"/>
  <c r="H150" i="6"/>
  <c r="F150" i="6" a="1"/>
  <c r="F150" i="6" s="1"/>
  <c r="I150" i="6" s="1"/>
  <c r="H151" i="6"/>
  <c r="F151" i="6" a="1"/>
  <c r="F151" i="6" s="1"/>
  <c r="I151" i="6" s="1"/>
  <c r="H152" i="6"/>
  <c r="F152" i="6" a="1"/>
  <c r="F152" i="6" s="1"/>
  <c r="I152" i="6" s="1"/>
  <c r="H153" i="6"/>
  <c r="F153" i="6" a="1"/>
  <c r="F153" i="6" s="1"/>
  <c r="I153" i="6" s="1"/>
  <c r="H154" i="6"/>
  <c r="F154" i="6" a="1"/>
  <c r="F154" i="6" s="1"/>
  <c r="I154" i="6" s="1"/>
  <c r="F155" i="6" a="1"/>
  <c r="F155" i="6" s="1"/>
  <c r="I155" i="6" s="1"/>
  <c r="H156" i="6"/>
  <c r="F156" i="6" a="1"/>
  <c r="F156" i="6" s="1"/>
  <c r="I156" i="6" s="1"/>
  <c r="H157" i="6"/>
  <c r="F157" i="6" a="1"/>
  <c r="F157" i="6" s="1"/>
  <c r="I157" i="6" s="1"/>
  <c r="H158" i="6"/>
  <c r="F158" i="6" a="1"/>
  <c r="F158" i="6" s="1"/>
  <c r="I158" i="6" s="1"/>
  <c r="H159" i="6"/>
  <c r="F159" i="6" a="1"/>
  <c r="F159" i="6" s="1"/>
  <c r="I159" i="6" s="1"/>
  <c r="H160" i="6"/>
  <c r="F160" i="6" a="1"/>
  <c r="F160" i="6" s="1"/>
  <c r="I160" i="6" s="1"/>
  <c r="H161" i="6"/>
  <c r="F161" i="6" a="1"/>
  <c r="F161" i="6" s="1"/>
  <c r="I161" i="6" s="1"/>
  <c r="H162" i="6"/>
  <c r="F162" i="6" a="1"/>
  <c r="F162" i="6" s="1"/>
  <c r="I162" i="6" s="1"/>
  <c r="F163" i="6" a="1"/>
  <c r="F163" i="6" s="1"/>
  <c r="I163" i="6" s="1"/>
  <c r="H164" i="6"/>
  <c r="F164" i="6" a="1"/>
  <c r="F164" i="6" s="1"/>
  <c r="I164" i="6" s="1"/>
  <c r="H165" i="6"/>
  <c r="F165" i="6" a="1"/>
  <c r="F165" i="6" s="1"/>
  <c r="I165" i="6" s="1"/>
  <c r="H166" i="6"/>
  <c r="F166" i="6" a="1"/>
  <c r="F166" i="6" s="1"/>
  <c r="I166" i="6" s="1"/>
  <c r="H167" i="6"/>
  <c r="F167" i="6" a="1"/>
  <c r="F167" i="6" s="1"/>
  <c r="I167" i="6" s="1"/>
  <c r="H168" i="6"/>
  <c r="F168" i="6" a="1"/>
  <c r="F168" i="6" s="1"/>
  <c r="I168" i="6" s="1"/>
  <c r="H169" i="6"/>
  <c r="F169" i="6" a="1"/>
  <c r="F169" i="6" s="1"/>
  <c r="I169" i="6" s="1"/>
  <c r="H79" i="6"/>
  <c r="F79" i="6" a="1"/>
  <c r="F79" i="6" s="1"/>
  <c r="I79" i="6" s="1"/>
  <c r="H80" i="6"/>
  <c r="F80" i="6" a="1"/>
  <c r="F80" i="6" s="1"/>
  <c r="I80" i="6" s="1"/>
  <c r="H81" i="6"/>
  <c r="F81" i="6" a="1"/>
  <c r="F81" i="6" s="1"/>
  <c r="I81" i="6" s="1"/>
  <c r="H82" i="6"/>
  <c r="F82" i="6" a="1"/>
  <c r="F82" i="6" s="1"/>
  <c r="I82" i="6" s="1"/>
  <c r="H83" i="6"/>
  <c r="F83" i="6" a="1"/>
  <c r="F83" i="6" s="1"/>
  <c r="I83" i="6" s="1"/>
  <c r="H84" i="6"/>
  <c r="F84" i="6" a="1"/>
  <c r="F84" i="6" s="1"/>
  <c r="I84" i="6" s="1"/>
  <c r="H85" i="6"/>
  <c r="F85" i="6" a="1"/>
  <c r="F85" i="6" s="1"/>
  <c r="I85" i="6" s="1"/>
  <c r="H86" i="6"/>
  <c r="F86" i="6" a="1"/>
  <c r="F86" i="6" s="1"/>
  <c r="I86" i="6" s="1"/>
  <c r="H87" i="6"/>
  <c r="F87" i="6" a="1"/>
  <c r="F87" i="6" s="1"/>
  <c r="I87" i="6" s="1"/>
  <c r="H88" i="6"/>
  <c r="F88" i="6" a="1"/>
  <c r="F88" i="6" s="1"/>
  <c r="I88" i="6" s="1"/>
  <c r="H89" i="6"/>
  <c r="F89" i="6" a="1"/>
  <c r="F89" i="6" s="1"/>
  <c r="I89" i="6" s="1"/>
  <c r="H90" i="6"/>
  <c r="F90" i="6" a="1"/>
  <c r="F90" i="6" s="1"/>
  <c r="I90" i="6" s="1"/>
  <c r="H91" i="6"/>
  <c r="F91" i="6" a="1"/>
  <c r="F91" i="6" s="1"/>
  <c r="I91" i="6" s="1"/>
  <c r="H92" i="6"/>
  <c r="F92" i="6" a="1"/>
  <c r="F92" i="6" s="1"/>
  <c r="I92" i="6" s="1"/>
  <c r="H93" i="6"/>
  <c r="F93" i="6" a="1"/>
  <c r="F93" i="6" s="1"/>
  <c r="I93" i="6" s="1"/>
  <c r="H94" i="6"/>
  <c r="F94" i="6" a="1"/>
  <c r="F94" i="6" s="1"/>
  <c r="I94" i="6" s="1"/>
  <c r="H95" i="6"/>
  <c r="F95" i="6" a="1"/>
  <c r="F95" i="6" s="1"/>
  <c r="I95" i="6" s="1"/>
  <c r="H96" i="6"/>
  <c r="F96" i="6" a="1"/>
  <c r="F96" i="6" s="1"/>
  <c r="I96" i="6" s="1"/>
  <c r="H97" i="6"/>
  <c r="F97" i="6" a="1"/>
  <c r="F97" i="6" s="1"/>
  <c r="I97" i="6" s="1"/>
  <c r="H98" i="6"/>
  <c r="F98" i="6" a="1"/>
  <c r="F98" i="6" s="1"/>
  <c r="I98" i="6" s="1"/>
  <c r="H99" i="6"/>
  <c r="F99" i="6" a="1"/>
  <c r="F99" i="6" s="1"/>
  <c r="I99" i="6" s="1"/>
  <c r="H100" i="6"/>
  <c r="F100" i="6" a="1"/>
  <c r="F100" i="6" s="1"/>
  <c r="I100" i="6" s="1"/>
  <c r="H101" i="6"/>
  <c r="F101" i="6" a="1"/>
  <c r="F101" i="6" s="1"/>
  <c r="I101" i="6" s="1"/>
  <c r="H102" i="6"/>
  <c r="F102" i="6" a="1"/>
  <c r="F102" i="6" s="1"/>
  <c r="I102" i="6" s="1"/>
  <c r="H103" i="6"/>
  <c r="F103" i="6" a="1"/>
  <c r="F103" i="6" s="1"/>
  <c r="I103" i="6" s="1"/>
  <c r="H104" i="6"/>
  <c r="F104" i="6" a="1"/>
  <c r="F104" i="6" s="1"/>
  <c r="I104" i="6" s="1"/>
  <c r="H105" i="6"/>
  <c r="F105" i="6" a="1"/>
  <c r="F105" i="6" s="1"/>
  <c r="I105" i="6" s="1"/>
  <c r="H106" i="6"/>
  <c r="F106" i="6" a="1"/>
  <c r="F106" i="6" s="1"/>
  <c r="I106" i="6" s="1"/>
  <c r="H107" i="6"/>
  <c r="F107" i="6" a="1"/>
  <c r="F107" i="6" s="1"/>
  <c r="I107" i="6" s="1"/>
  <c r="H108" i="6"/>
  <c r="F108" i="6" a="1"/>
  <c r="F108" i="6" s="1"/>
  <c r="I108" i="6" s="1"/>
  <c r="H109" i="6"/>
  <c r="F109" i="6" a="1"/>
  <c r="F109" i="6" s="1"/>
  <c r="I109" i="6" s="1"/>
  <c r="F110" i="6" a="1"/>
  <c r="F110" i="6" s="1"/>
  <c r="I110" i="6" s="1"/>
  <c r="H114" i="6"/>
  <c r="F114" i="6" a="1"/>
  <c r="F114" i="6" s="1"/>
  <c r="I114" i="6" s="1"/>
  <c r="H119" i="6"/>
  <c r="F119" i="6" a="1"/>
  <c r="F119" i="6" s="1"/>
  <c r="I119" i="6" s="1"/>
  <c r="H121" i="6"/>
  <c r="F121" i="6" a="1"/>
  <c r="F121" i="6" s="1"/>
  <c r="I121" i="6" s="1"/>
  <c r="H122" i="6"/>
  <c r="F122" i="6" a="1"/>
  <c r="F122" i="6" s="1"/>
  <c r="I122" i="6" s="1"/>
  <c r="H123" i="6"/>
  <c r="F123" i="6" a="1"/>
  <c r="F123" i="6" s="1"/>
  <c r="I123" i="6" s="1"/>
  <c r="H124" i="6"/>
  <c r="F124" i="6" a="1"/>
  <c r="F124" i="6" s="1"/>
  <c r="I124" i="6" s="1"/>
  <c r="H125" i="6"/>
  <c r="F125" i="6" a="1"/>
  <c r="F125" i="6" s="1"/>
  <c r="I125" i="6" s="1"/>
  <c r="H126" i="6"/>
  <c r="F126" i="6" a="1"/>
  <c r="F126" i="6" s="1"/>
  <c r="I126" i="6" s="1"/>
  <c r="H127" i="6"/>
  <c r="F127" i="6" a="1"/>
  <c r="F127" i="6" s="1"/>
  <c r="I127" i="6" s="1"/>
  <c r="H128" i="6"/>
  <c r="F128" i="6" a="1"/>
  <c r="F128" i="6" s="1"/>
  <c r="I128" i="6" s="1"/>
  <c r="H129" i="6"/>
  <c r="F129" i="6" a="1"/>
  <c r="F129" i="6" s="1"/>
  <c r="I129" i="6" s="1"/>
  <c r="H131" i="6"/>
  <c r="F131" i="6" a="1"/>
  <c r="F131" i="6" s="1"/>
  <c r="I131" i="6" s="1"/>
  <c r="H132" i="6"/>
  <c r="F132" i="6" a="1"/>
  <c r="F132" i="6" s="1"/>
  <c r="I132" i="6" s="1"/>
  <c r="H133" i="6"/>
  <c r="F133" i="6" a="1"/>
  <c r="F133" i="6" s="1"/>
  <c r="I133" i="6" s="1"/>
  <c r="H134" i="6"/>
  <c r="F134" i="6" a="1"/>
  <c r="F134" i="6" s="1"/>
  <c r="I134" i="6" s="1"/>
  <c r="H135" i="6"/>
  <c r="F135" i="6" a="1"/>
  <c r="F135" i="6" s="1"/>
  <c r="I135" i="6" s="1"/>
  <c r="H136" i="6"/>
  <c r="F136" i="6" a="1"/>
  <c r="F136" i="6" s="1"/>
  <c r="I136" i="6" s="1"/>
  <c r="H142" i="6"/>
  <c r="F142" i="6" a="1"/>
  <c r="F142" i="6" s="1"/>
  <c r="I142" i="6" s="1"/>
  <c r="H78" i="6"/>
  <c r="F78" i="6" a="1"/>
  <c r="F78" i="6" s="1"/>
  <c r="I78" i="6" s="1"/>
  <c r="H77" i="6"/>
  <c r="F77" i="6" a="1"/>
  <c r="F77" i="6" s="1"/>
  <c r="I77" i="6" s="1"/>
  <c r="H76" i="6"/>
  <c r="F76" i="6" a="1"/>
  <c r="F76" i="6" s="1"/>
  <c r="I76" i="6" s="1"/>
  <c r="H75" i="6"/>
  <c r="F75" i="6" a="1"/>
  <c r="F75" i="6" s="1"/>
  <c r="I75" i="6" s="1"/>
  <c r="H74" i="6"/>
  <c r="F74" i="6" a="1"/>
  <c r="F74" i="6" s="1"/>
  <c r="I74" i="6" s="1"/>
  <c r="H73" i="6"/>
  <c r="F73" i="6" a="1"/>
  <c r="F73" i="6" s="1"/>
  <c r="I73" i="6" s="1"/>
  <c r="H72" i="6"/>
  <c r="F72" i="6" a="1"/>
  <c r="F72" i="6" s="1"/>
  <c r="I72" i="6" s="1"/>
  <c r="H71" i="6"/>
  <c r="F71" i="6" a="1"/>
  <c r="F71" i="6" s="1"/>
  <c r="I71" i="6" s="1"/>
  <c r="H70" i="6"/>
  <c r="F70" i="6" a="1"/>
  <c r="F70" i="6" s="1"/>
  <c r="I70" i="6" s="1"/>
  <c r="H69" i="6"/>
  <c r="F69" i="6" a="1"/>
  <c r="F69" i="6" s="1"/>
  <c r="I69" i="6" s="1"/>
  <c r="H68" i="6"/>
  <c r="F68" i="6" a="1"/>
  <c r="F68" i="6" s="1"/>
  <c r="I68" i="6" s="1"/>
  <c r="H67" i="6"/>
  <c r="F67" i="6" a="1"/>
  <c r="F67" i="6" s="1"/>
  <c r="I67" i="6" s="1"/>
  <c r="H66" i="6"/>
  <c r="F66" i="6" a="1"/>
  <c r="F66" i="6" s="1"/>
  <c r="I66" i="6" s="1"/>
  <c r="H65" i="6"/>
  <c r="F65" i="6" a="1"/>
  <c r="F65" i="6" s="1"/>
  <c r="I65" i="6" s="1"/>
  <c r="F64" i="6" a="1"/>
  <c r="F64" i="6" s="1"/>
  <c r="I64" i="6" s="1"/>
  <c r="F63" i="6" a="1"/>
  <c r="F63" i="6" s="1"/>
  <c r="I63" i="6" s="1"/>
  <c r="F39" i="6" a="1"/>
  <c r="F39" i="6" s="1"/>
  <c r="I39" i="6" s="1"/>
  <c r="F26" i="6" a="1"/>
  <c r="F26" i="6" s="1"/>
  <c r="F35" i="6" a="1"/>
  <c r="F35" i="6" s="1"/>
  <c r="I35" i="6" s="1"/>
  <c r="H34" i="6"/>
  <c r="F34" i="6" a="1"/>
  <c r="F34" i="6" s="1"/>
  <c r="I34" i="6" s="1"/>
  <c r="H33" i="6"/>
  <c r="F33" i="6" a="1"/>
  <c r="F33" i="6" s="1"/>
  <c r="I33" i="6" s="1"/>
  <c r="H30" i="6"/>
  <c r="F30" i="6" a="1"/>
  <c r="F30" i="6" s="1"/>
  <c r="I30" i="6" s="1"/>
  <c r="H29" i="6"/>
  <c r="F29" i="6" a="1"/>
  <c r="F29" i="6" s="1"/>
  <c r="I29" i="6" s="1"/>
  <c r="H28" i="6"/>
  <c r="F28" i="6" a="1"/>
  <c r="F28" i="6" s="1"/>
  <c r="I28" i="6" s="1"/>
  <c r="H27" i="6"/>
  <c r="F27" i="6" a="1"/>
  <c r="F27" i="6" s="1"/>
  <c r="I27" i="6" s="1"/>
  <c r="H13" i="6"/>
  <c r="F13" i="6" a="1"/>
  <c r="F13" i="6" s="1"/>
  <c r="I13" i="6" s="1"/>
  <c r="H4" i="6"/>
  <c r="F4" i="6" a="1"/>
  <c r="F4" i="6" s="1"/>
  <c r="I4" i="6" s="1"/>
  <c r="H56" i="6"/>
  <c r="F56" i="6" a="1"/>
  <c r="F56" i="6" s="1"/>
  <c r="I56" i="6" s="1"/>
  <c r="H43" i="6"/>
  <c r="F43" i="6" a="1"/>
  <c r="F43" i="6" s="1"/>
  <c r="I43" i="6" s="1"/>
  <c r="H38" i="6"/>
  <c r="F38" i="6" a="1"/>
  <c r="F38" i="6" s="1"/>
  <c r="I38" i="6" s="1"/>
  <c r="H37" i="6"/>
  <c r="F37" i="6" a="1"/>
  <c r="F37" i="6" s="1"/>
  <c r="I37" i="6" s="1"/>
  <c r="H25" i="6"/>
  <c r="F25" i="6" a="1"/>
  <c r="F25" i="6" s="1"/>
  <c r="I25" i="6" s="1"/>
  <c r="H22" i="6"/>
  <c r="F22" i="6" a="1"/>
  <c r="F22" i="6" s="1"/>
  <c r="I22" i="6" s="1"/>
  <c r="H21" i="6"/>
  <c r="F21" i="6" a="1"/>
  <c r="F21" i="6" s="1"/>
  <c r="I21" i="6" s="1"/>
  <c r="H18" i="6"/>
  <c r="F18" i="6" a="1"/>
  <c r="F18" i="6" s="1"/>
  <c r="I18" i="6" s="1"/>
  <c r="H10" i="6"/>
  <c r="F10" i="6" a="1"/>
  <c r="F10" i="6" s="1"/>
  <c r="I10" i="6" s="1"/>
  <c r="H11" i="6"/>
  <c r="F11" i="6" a="1"/>
  <c r="F11" i="6" s="1"/>
  <c r="I11" i="6" s="1"/>
  <c r="H55" i="6"/>
  <c r="F55" i="6" a="1"/>
  <c r="F55" i="6" s="1"/>
  <c r="I55" i="6" s="1"/>
  <c r="H42" i="6"/>
  <c r="F42" i="6" a="1"/>
  <c r="F42" i="6" s="1"/>
  <c r="I42" i="6" s="1"/>
  <c r="H23" i="6"/>
  <c r="F23" i="6" a="1"/>
  <c r="F23" i="6" s="1"/>
  <c r="I23" i="6" s="1"/>
  <c r="H62" i="6"/>
  <c r="F62" i="6" a="1"/>
  <c r="F62" i="6" s="1"/>
  <c r="I62" i="6" s="1"/>
  <c r="H50" i="6"/>
  <c r="F50" i="6" a="1"/>
  <c r="F50" i="6" s="1"/>
  <c r="I50" i="6" s="1"/>
  <c r="H49" i="6"/>
  <c r="F49" i="6" a="1"/>
  <c r="F49" i="6" s="1"/>
  <c r="I49" i="6" s="1"/>
  <c r="H48" i="6"/>
  <c r="F48" i="6" a="1"/>
  <c r="F48" i="6" s="1"/>
  <c r="I48" i="6" s="1"/>
  <c r="H47" i="6"/>
  <c r="F47" i="6" a="1"/>
  <c r="F47" i="6" s="1"/>
  <c r="I47" i="6" s="1"/>
  <c r="H46" i="6"/>
  <c r="F46" i="6" a="1"/>
  <c r="F46" i="6" s="1"/>
  <c r="I46" i="6" s="1"/>
  <c r="H45" i="6"/>
  <c r="F45" i="6" a="1"/>
  <c r="F45" i="6" s="1"/>
  <c r="I45" i="6" s="1"/>
  <c r="H40" i="6"/>
  <c r="F40" i="6" a="1"/>
  <c r="F40" i="6" s="1"/>
  <c r="I40" i="6" s="1"/>
  <c r="H17" i="6"/>
  <c r="F17" i="6" a="1"/>
  <c r="F17" i="6" s="1"/>
  <c r="I17" i="6" s="1"/>
  <c r="H16" i="6"/>
  <c r="F16" i="6" a="1"/>
  <c r="F16" i="6" s="1"/>
  <c r="I16" i="6" s="1"/>
  <c r="H15" i="6"/>
  <c r="F15" i="6" a="1"/>
  <c r="F15" i="6" s="1"/>
  <c r="I15" i="6" s="1"/>
  <c r="H61" i="6"/>
  <c r="F61" i="6" a="1"/>
  <c r="F61" i="6" s="1"/>
  <c r="I61" i="6" s="1"/>
  <c r="H8" i="6"/>
  <c r="F8" i="6" a="1"/>
  <c r="F8" i="6" s="1"/>
  <c r="I8" i="6" s="1"/>
  <c r="H60" i="6"/>
  <c r="F60" i="6" a="1"/>
  <c r="F60" i="6" s="1"/>
  <c r="I60" i="6" s="1"/>
  <c r="H59" i="6"/>
  <c r="F59" i="6" a="1"/>
  <c r="F59" i="6" s="1"/>
  <c r="I59" i="6" s="1"/>
  <c r="H58" i="6"/>
  <c r="F58" i="6" a="1"/>
  <c r="F58" i="6" s="1"/>
  <c r="I58" i="6" s="1"/>
  <c r="H57" i="6"/>
  <c r="F57" i="6" a="1"/>
  <c r="F57" i="6" s="1"/>
  <c r="I57" i="6" s="1"/>
  <c r="H54" i="6"/>
  <c r="F54" i="6" a="1"/>
  <c r="F54" i="6" s="1"/>
  <c r="I54" i="6" s="1"/>
  <c r="H52" i="6"/>
  <c r="F52" i="6" a="1"/>
  <c r="F52" i="6" s="1"/>
  <c r="I52" i="6" s="1"/>
  <c r="H53" i="6"/>
  <c r="F53" i="6" a="1"/>
  <c r="F53" i="6" s="1"/>
  <c r="I53" i="6" s="1"/>
  <c r="H44" i="6"/>
  <c r="F44" i="6" a="1"/>
  <c r="F44" i="6" s="1"/>
  <c r="I44" i="6" s="1"/>
  <c r="H36" i="6"/>
  <c r="F36" i="6" a="1"/>
  <c r="F36" i="6" s="1"/>
  <c r="I36" i="6" s="1"/>
  <c r="H24" i="6"/>
  <c r="F24" i="6" a="1"/>
  <c r="F24" i="6" s="1"/>
  <c r="I24" i="6" s="1"/>
  <c r="H20" i="6"/>
  <c r="F20" i="6" a="1"/>
  <c r="F20" i="6" s="1"/>
  <c r="I20" i="6" s="1"/>
  <c r="H19" i="6"/>
  <c r="F19" i="6" a="1"/>
  <c r="F19" i="6" s="1"/>
  <c r="I19" i="6" s="1"/>
  <c r="H14" i="6"/>
  <c r="F14" i="6" a="1"/>
  <c r="F14" i="6" s="1"/>
  <c r="I14" i="6" s="1"/>
  <c r="H12" i="6"/>
  <c r="F12" i="6" a="1"/>
  <c r="F12" i="6" s="1"/>
  <c r="I12" i="6" s="1"/>
  <c r="H7" i="6"/>
  <c r="F7" i="6" a="1"/>
  <c r="F7" i="6" s="1"/>
  <c r="I7" i="6" s="1"/>
  <c r="H9" i="6"/>
  <c r="F9" i="6" a="1"/>
  <c r="F9" i="6" s="1"/>
  <c r="I9" i="6" s="1"/>
  <c r="H6" i="6"/>
  <c r="F6" i="6" a="1"/>
  <c r="F6" i="6" s="1"/>
  <c r="I6" i="6" s="1"/>
  <c r="H41" i="6"/>
  <c r="F41" i="6" a="1"/>
  <c r="F41" i="6" s="1"/>
  <c r="I41" i="6" s="1"/>
  <c r="H32" i="6"/>
  <c r="F32" i="6" a="1"/>
  <c r="F32" i="6" s="1"/>
  <c r="I32" i="6" s="1"/>
  <c r="H31" i="6"/>
  <c r="F31" i="6" a="1"/>
  <c r="F31" i="6" s="1"/>
  <c r="I31" i="6" s="1"/>
  <c r="H51" i="6"/>
  <c r="F51" i="6" a="1"/>
  <c r="F51" i="6" s="1"/>
  <c r="I51" i="6" s="1"/>
  <c r="H5" i="6"/>
  <c r="F5" i="6" a="1"/>
  <c r="F5" i="6" s="1"/>
  <c r="I5" i="6" s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F4" i="1" a="1"/>
  <c r="F4" i="1"/>
  <c r="F5" i="1" a="1"/>
  <c r="F5" i="1"/>
  <c r="F6" i="1" a="1"/>
  <c r="F6" i="1" s="1"/>
  <c r="F7" i="1" a="1"/>
  <c r="F7" i="1"/>
  <c r="F8" i="1" a="1"/>
  <c r="F8" i="1"/>
  <c r="F9" i="1" a="1"/>
  <c r="F9" i="1"/>
  <c r="F10" i="1" a="1"/>
  <c r="F10" i="1" s="1"/>
  <c r="F11" i="1" a="1"/>
  <c r="F11" i="1"/>
  <c r="F12" i="1" a="1"/>
  <c r="F12" i="1"/>
  <c r="F13" i="1" a="1"/>
  <c r="F13" i="1"/>
  <c r="F14" i="1" a="1"/>
  <c r="F14" i="1" s="1"/>
  <c r="F15" i="1" a="1"/>
  <c r="F15" i="1"/>
  <c r="F16" i="1" a="1"/>
  <c r="F16" i="1"/>
  <c r="F17" i="1" a="1"/>
  <c r="F17" i="1"/>
  <c r="F18" i="1" a="1"/>
  <c r="F18" i="1" s="1"/>
  <c r="F19" i="1" a="1"/>
  <c r="F19" i="1"/>
  <c r="F20" i="1" a="1"/>
  <c r="F20" i="1"/>
  <c r="F21" i="1" a="1"/>
  <c r="F21" i="1" s="1"/>
  <c r="F22" i="1" a="1"/>
  <c r="F22" i="1" s="1"/>
  <c r="F23" i="1" a="1"/>
  <c r="F23" i="1"/>
  <c r="F24" i="1" a="1"/>
  <c r="F24" i="1"/>
  <c r="F25" i="1" a="1"/>
  <c r="F25" i="1" s="1"/>
  <c r="F26" i="1" a="1"/>
  <c r="F26" i="1" s="1"/>
  <c r="F27" i="1" a="1"/>
  <c r="F27" i="1"/>
  <c r="F28" i="1" a="1"/>
  <c r="F28" i="1"/>
  <c r="F29" i="1" a="1"/>
  <c r="F29" i="1" s="1"/>
  <c r="F30" i="1" a="1"/>
  <c r="F30" i="1" s="1"/>
  <c r="F31" i="1" a="1"/>
  <c r="F31" i="1"/>
  <c r="F32" i="1" a="1"/>
  <c r="F32" i="1"/>
  <c r="F33" i="1" a="1"/>
  <c r="F33" i="1" s="1"/>
  <c r="F34" i="1" a="1"/>
  <c r="F34" i="1" s="1"/>
  <c r="F35" i="1" a="1"/>
  <c r="F35" i="1"/>
  <c r="F36" i="1" a="1"/>
  <c r="F36" i="1"/>
  <c r="F37" i="1" a="1"/>
  <c r="F37" i="1" s="1"/>
  <c r="F38" i="1" a="1"/>
  <c r="F38" i="1" s="1"/>
  <c r="F39" i="1" a="1"/>
  <c r="F39" i="1"/>
  <c r="F40" i="1" a="1"/>
  <c r="F40" i="1"/>
  <c r="F41" i="1" a="1"/>
  <c r="F41" i="1" s="1"/>
  <c r="F42" i="1" a="1"/>
  <c r="F42" i="1" s="1"/>
  <c r="F43" i="1" a="1"/>
  <c r="F43" i="1"/>
  <c r="F44" i="1" a="1"/>
  <c r="F44" i="1"/>
  <c r="F45" i="1" a="1"/>
  <c r="F45" i="1" s="1"/>
  <c r="F46" i="1" a="1"/>
  <c r="F46" i="1" s="1"/>
  <c r="F47" i="1" a="1"/>
  <c r="F47" i="1"/>
  <c r="F48" i="1" a="1"/>
  <c r="F48" i="1"/>
  <c r="F49" i="1" a="1"/>
  <c r="F49" i="1" s="1"/>
  <c r="F50" i="1" a="1"/>
  <c r="F50" i="1" s="1"/>
  <c r="F51" i="1" a="1"/>
  <c r="F51" i="1"/>
  <c r="F52" i="1" a="1"/>
  <c r="F52" i="1"/>
  <c r="F53" i="1" a="1"/>
  <c r="F53" i="1" s="1"/>
  <c r="F54" i="1" a="1"/>
  <c r="F54" i="1" s="1"/>
  <c r="F55" i="1" a="1"/>
  <c r="F55" i="1"/>
  <c r="F56" i="1" a="1"/>
  <c r="F56" i="1"/>
  <c r="F57" i="1" a="1"/>
  <c r="F57" i="1" s="1"/>
  <c r="F58" i="1" a="1"/>
  <c r="F58" i="1" s="1"/>
  <c r="F59" i="1" a="1"/>
  <c r="F59" i="1"/>
  <c r="F60" i="1" a="1"/>
  <c r="F60" i="1"/>
  <c r="F61" i="1" a="1"/>
  <c r="F61" i="1" s="1"/>
  <c r="F62" i="1" a="1"/>
  <c r="F62" i="1" s="1"/>
  <c r="F63" i="1" a="1"/>
  <c r="F63" i="1"/>
  <c r="F64" i="1" a="1"/>
  <c r="F64" i="1"/>
  <c r="F65" i="1" a="1"/>
  <c r="F65" i="1" s="1"/>
  <c r="F66" i="1" a="1"/>
  <c r="F66" i="1" s="1"/>
  <c r="F67" i="1" a="1"/>
  <c r="F67" i="1"/>
  <c r="F68" i="1" a="1"/>
  <c r="F68" i="1"/>
  <c r="F69" i="1" a="1"/>
  <c r="F69" i="1" s="1"/>
  <c r="F70" i="1" a="1"/>
  <c r="F70" i="1" s="1"/>
  <c r="F71" i="1" a="1"/>
  <c r="F71" i="1"/>
  <c r="F72" i="1" a="1"/>
  <c r="F72" i="1"/>
  <c r="F73" i="1" a="1"/>
  <c r="F73" i="1" s="1"/>
  <c r="F74" i="1" a="1"/>
  <c r="F74" i="1" s="1"/>
  <c r="F75" i="1" a="1"/>
  <c r="F75" i="1"/>
  <c r="F76" i="1" a="1"/>
  <c r="F76" i="1"/>
  <c r="F77" i="1" a="1"/>
  <c r="F77" i="1" s="1"/>
  <c r="F78" i="1" a="1"/>
  <c r="F78" i="1" s="1"/>
  <c r="F79" i="1" a="1"/>
  <c r="F79" i="1"/>
  <c r="F80" i="1" a="1"/>
  <c r="F80" i="1"/>
  <c r="F81" i="1" a="1"/>
  <c r="F81" i="1" s="1"/>
  <c r="F82" i="1" a="1"/>
  <c r="F82" i="1" s="1"/>
  <c r="F83" i="1" a="1"/>
  <c r="F83" i="1"/>
  <c r="F84" i="1" a="1"/>
  <c r="F84" i="1"/>
  <c r="F85" i="1" a="1"/>
  <c r="F85" i="1" s="1"/>
  <c r="F86" i="1" a="1"/>
  <c r="F86" i="1" s="1"/>
  <c r="F87" i="1" a="1"/>
  <c r="F87" i="1"/>
  <c r="F88" i="1" a="1"/>
  <c r="F88" i="1" s="1"/>
  <c r="F89" i="1" a="1"/>
  <c r="F89" i="1" s="1"/>
  <c r="F90" i="1" a="1"/>
  <c r="F90" i="1" s="1"/>
  <c r="F91" i="1" a="1"/>
  <c r="F91" i="1"/>
  <c r="F92" i="1" a="1"/>
  <c r="F92" i="1" s="1"/>
  <c r="F93" i="1" a="1"/>
  <c r="F93" i="1" s="1"/>
  <c r="F94" i="1" a="1"/>
  <c r="F94" i="1" s="1"/>
  <c r="F95" i="1" a="1"/>
  <c r="F95" i="1"/>
  <c r="F96" i="1" a="1"/>
  <c r="F96" i="1" s="1"/>
  <c r="F97" i="1" a="1"/>
  <c r="F97" i="1" s="1"/>
  <c r="F98" i="1" a="1"/>
  <c r="F98" i="1" s="1"/>
  <c r="F99" i="1" a="1"/>
  <c r="F99" i="1"/>
  <c r="F100" i="1" a="1"/>
  <c r="F100" i="1" s="1"/>
  <c r="F101" i="1" a="1"/>
  <c r="F101" i="1" s="1"/>
  <c r="F102" i="1" a="1"/>
  <c r="F102" i="1" s="1"/>
  <c r="F103" i="1" a="1"/>
  <c r="F103" i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 s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3" i="1" a="1"/>
  <c r="F3" i="1" s="1"/>
  <c r="I3" i="1" s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60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5" i="1"/>
  <c r="H136" i="1"/>
  <c r="H137" i="1"/>
  <c r="H138" i="1"/>
  <c r="H139" i="1"/>
  <c r="H140" i="1"/>
  <c r="H141" i="1"/>
  <c r="H143" i="1"/>
  <c r="H144" i="1"/>
  <c r="H145" i="1"/>
  <c r="H146" i="1"/>
  <c r="H147" i="1"/>
  <c r="H148" i="1"/>
  <c r="H149" i="1"/>
  <c r="H150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5" i="1"/>
  <c r="H176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P51" i="1"/>
  <c r="P50" i="1"/>
  <c r="P49" i="1"/>
  <c r="P48" i="1"/>
  <c r="P47" i="1"/>
  <c r="P46" i="1"/>
  <c r="P45" i="1"/>
  <c r="P43" i="1"/>
  <c r="P42" i="1"/>
  <c r="P41" i="1"/>
  <c r="P40" i="1"/>
  <c r="P39" i="1"/>
  <c r="P38" i="1"/>
  <c r="P37" i="1"/>
  <c r="P35" i="1"/>
  <c r="P34" i="1"/>
  <c r="T33" i="1"/>
  <c r="P33" i="1"/>
  <c r="T32" i="1"/>
  <c r="P32" i="1"/>
  <c r="T31" i="1"/>
  <c r="P31" i="1"/>
  <c r="T30" i="1"/>
  <c r="P30" i="1"/>
  <c r="P29" i="1"/>
  <c r="T28" i="1"/>
  <c r="T27" i="1"/>
  <c r="P27" i="1"/>
  <c r="T26" i="1"/>
  <c r="P26" i="1"/>
  <c r="T25" i="1"/>
  <c r="P25" i="1"/>
  <c r="P24" i="1"/>
  <c r="T23" i="1"/>
  <c r="P23" i="1"/>
  <c r="T22" i="1"/>
  <c r="P22" i="1"/>
  <c r="T21" i="1"/>
  <c r="P21" i="1"/>
  <c r="T20" i="1"/>
  <c r="P19" i="1"/>
  <c r="T18" i="1"/>
  <c r="P18" i="1"/>
  <c r="T17" i="1"/>
  <c r="P17" i="1"/>
  <c r="T16" i="1"/>
  <c r="P16" i="1"/>
  <c r="T15" i="1"/>
  <c r="P15" i="1"/>
  <c r="P14" i="1"/>
  <c r="T13" i="1"/>
  <c r="P13" i="1"/>
  <c r="T12" i="1"/>
  <c r="T11" i="1"/>
  <c r="P11" i="1"/>
  <c r="T10" i="1"/>
  <c r="P10" i="1"/>
  <c r="P9" i="1"/>
  <c r="T8" i="1"/>
  <c r="P8" i="1"/>
  <c r="T7" i="1"/>
  <c r="P7" i="1"/>
  <c r="T6" i="1"/>
  <c r="P6" i="1"/>
  <c r="T5" i="1"/>
  <c r="P5" i="1"/>
  <c r="P28" i="6" l="1"/>
  <c r="P20" i="6"/>
  <c r="P44" i="6"/>
  <c r="P36" i="6"/>
  <c r="P12" i="6"/>
  <c r="P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<sst xmlns="http://schemas.openxmlformats.org/spreadsheetml/2006/main" count="8066" uniqueCount="586">
  <si>
    <t>Age</t>
  </si>
  <si>
    <t>Breed</t>
  </si>
  <si>
    <t>Intake</t>
  </si>
  <si>
    <t>Date Left</t>
  </si>
  <si>
    <t>Status</t>
  </si>
  <si>
    <t>Notes</t>
  </si>
  <si>
    <t>Record</t>
  </si>
  <si>
    <t>DSH</t>
  </si>
  <si>
    <t>RTO</t>
  </si>
  <si>
    <t>Safe Keeping</t>
  </si>
  <si>
    <t>DMH</t>
  </si>
  <si>
    <t>Adopted</t>
  </si>
  <si>
    <t>Name</t>
  </si>
  <si>
    <t>Gypsy</t>
  </si>
  <si>
    <t>Wednesday</t>
  </si>
  <si>
    <t>DLH</t>
  </si>
  <si>
    <t>Victoria</t>
  </si>
  <si>
    <t>Mittens</t>
  </si>
  <si>
    <t>Transferred</t>
  </si>
  <si>
    <t>Homeward Trails</t>
  </si>
  <si>
    <t>Callie</t>
  </si>
  <si>
    <t>Shelter</t>
  </si>
  <si>
    <t>Wiggles</t>
  </si>
  <si>
    <t>Lyric</t>
  </si>
  <si>
    <t>Feral</t>
  </si>
  <si>
    <t>Graddy</t>
  </si>
  <si>
    <t>Mama Cat</t>
  </si>
  <si>
    <t>Fearly</t>
  </si>
  <si>
    <t>DOA</t>
  </si>
  <si>
    <t>Died after 1 night of bottle feeding</t>
  </si>
  <si>
    <t>Died in custody</t>
  </si>
  <si>
    <t>Euthanized</t>
  </si>
  <si>
    <t>Kya</t>
  </si>
  <si>
    <t>Sick</t>
  </si>
  <si>
    <t>Trap</t>
  </si>
  <si>
    <t>Ruptured eye</t>
  </si>
  <si>
    <t>Owner Surrender</t>
  </si>
  <si>
    <t>Roux</t>
  </si>
  <si>
    <t>Stray</t>
  </si>
  <si>
    <t>Stray / Sick</t>
  </si>
  <si>
    <t>St</t>
  </si>
  <si>
    <t>Born at shelter</t>
  </si>
  <si>
    <t>Bite</t>
  </si>
  <si>
    <t>Intake Status</t>
  </si>
  <si>
    <t>BAS</t>
  </si>
  <si>
    <t>Siamese</t>
  </si>
  <si>
    <t>Euthanized for owner</t>
  </si>
  <si>
    <t>unweaned</t>
  </si>
  <si>
    <t>Avia</t>
  </si>
  <si>
    <t>Pit</t>
  </si>
  <si>
    <t>Pit x</t>
  </si>
  <si>
    <t>ShihTzu x</t>
  </si>
  <si>
    <t>Pug x</t>
  </si>
  <si>
    <t>Seized</t>
  </si>
  <si>
    <t>Poodle</t>
  </si>
  <si>
    <t>Maltipoo</t>
  </si>
  <si>
    <t>German Shep</t>
  </si>
  <si>
    <t>Husky x</t>
  </si>
  <si>
    <t>Rocky</t>
  </si>
  <si>
    <t>Doodle</t>
  </si>
  <si>
    <t>Grt Dane / Lab</t>
  </si>
  <si>
    <t>Other</t>
  </si>
  <si>
    <t>St Bernard x</t>
  </si>
  <si>
    <t>Great Pyrenees</t>
  </si>
  <si>
    <t>at AMC</t>
  </si>
  <si>
    <t>Pomeranian</t>
  </si>
  <si>
    <t>owner requested</t>
  </si>
  <si>
    <t>Parvo</t>
  </si>
  <si>
    <t>Princess</t>
  </si>
  <si>
    <t>GS / Chow</t>
  </si>
  <si>
    <t>Beagle x</t>
  </si>
  <si>
    <t>Lab</t>
  </si>
  <si>
    <t>Hound</t>
  </si>
  <si>
    <t>Hound x</t>
  </si>
  <si>
    <t>Vinny</t>
  </si>
  <si>
    <t>Valentina</t>
  </si>
  <si>
    <t>German Shep x</t>
  </si>
  <si>
    <t>Owner died</t>
  </si>
  <si>
    <t>Great Pyrenees x</t>
  </si>
  <si>
    <t>Terrier x</t>
  </si>
  <si>
    <t>Eviction</t>
  </si>
  <si>
    <t>Cocker Spaniel</t>
  </si>
  <si>
    <t>Oldies but Goodies</t>
  </si>
  <si>
    <t>ShihTzu</t>
  </si>
  <si>
    <t>Cane Corso</t>
  </si>
  <si>
    <t>Richmond SPCA</t>
  </si>
  <si>
    <t>Cookie</t>
  </si>
  <si>
    <t>Sanctuary Rescue</t>
  </si>
  <si>
    <t>Chow x</t>
  </si>
  <si>
    <t>GS / Pit</t>
  </si>
  <si>
    <t>Beagle</t>
  </si>
  <si>
    <t>Chip</t>
  </si>
  <si>
    <t>Matilda</t>
  </si>
  <si>
    <t>Pittsylvania Pet Center</t>
  </si>
  <si>
    <t>Hummingbird</t>
  </si>
  <si>
    <t>Caswell County APS</t>
  </si>
  <si>
    <t>Chi</t>
  </si>
  <si>
    <t>Peanut</t>
  </si>
  <si>
    <t>Martinsville SPCA</t>
  </si>
  <si>
    <t>Huck</t>
  </si>
  <si>
    <t>Unknown location</t>
  </si>
  <si>
    <t>Tom Tom</t>
  </si>
  <si>
    <t>Chase</t>
  </si>
  <si>
    <t>Jack Russ / Chi</t>
  </si>
  <si>
    <t>At shelter</t>
  </si>
  <si>
    <t>Collie x</t>
  </si>
  <si>
    <t>Goldie</t>
  </si>
  <si>
    <t>Great Dane</t>
  </si>
  <si>
    <t>Rottweiler</t>
  </si>
  <si>
    <t>Chi x</t>
  </si>
  <si>
    <t>Safe keeping</t>
  </si>
  <si>
    <t>Shih Tzu</t>
  </si>
  <si>
    <t>Died at shelter</t>
  </si>
  <si>
    <t>Milo</t>
  </si>
  <si>
    <t>Hould / Lab</t>
  </si>
  <si>
    <t>Alma</t>
  </si>
  <si>
    <t>Juno</t>
  </si>
  <si>
    <t>Ginger</t>
  </si>
  <si>
    <t>Grt Dane / Poodle</t>
  </si>
  <si>
    <t>Borken leg</t>
  </si>
  <si>
    <t>Great Dane x</t>
  </si>
  <si>
    <t>Hope</t>
  </si>
  <si>
    <t>Bubba</t>
  </si>
  <si>
    <t>Daisy</t>
  </si>
  <si>
    <t>Injured</t>
  </si>
  <si>
    <t>Misty</t>
  </si>
  <si>
    <t>Shep x</t>
  </si>
  <si>
    <t>URI</t>
  </si>
  <si>
    <t>Sick / PETA</t>
  </si>
  <si>
    <t xml:space="preserve">Sick  </t>
  </si>
  <si>
    <t>Chiweenie</t>
  </si>
  <si>
    <t>Carmella</t>
  </si>
  <si>
    <t>Sick / Unweaned</t>
  </si>
  <si>
    <t>Beau</t>
  </si>
  <si>
    <t>Attacked shelter dogs</t>
  </si>
  <si>
    <t>Ret x</t>
  </si>
  <si>
    <t>Max</t>
  </si>
  <si>
    <t>Big Boy</t>
  </si>
  <si>
    <t>Levis</t>
  </si>
  <si>
    <t>Coco</t>
  </si>
  <si>
    <t>Bully</t>
  </si>
  <si>
    <t>Ellie</t>
  </si>
  <si>
    <t>Blue Heeler</t>
  </si>
  <si>
    <t xml:space="preserve">Pit / Grey Hound </t>
  </si>
  <si>
    <t>Unweaned</t>
  </si>
  <si>
    <t>Cavapoo?</t>
  </si>
  <si>
    <t>Mickey</t>
  </si>
  <si>
    <t>owner passed away</t>
  </si>
  <si>
    <t>ringworm</t>
  </si>
  <si>
    <t>Lab x</t>
  </si>
  <si>
    <t>Shadow</t>
  </si>
  <si>
    <t>MinPin</t>
  </si>
  <si>
    <t>Bluey</t>
  </si>
  <si>
    <t>cancer</t>
  </si>
  <si>
    <t>Bella</t>
  </si>
  <si>
    <t>Mama and 3 kittens</t>
  </si>
  <si>
    <t>Sprig</t>
  </si>
  <si>
    <t>Charlie</t>
  </si>
  <si>
    <t>Tina</t>
  </si>
  <si>
    <t>Mina</t>
  </si>
  <si>
    <t>ShihTzu/Yorkie</t>
  </si>
  <si>
    <t>Husky/Pit</t>
  </si>
  <si>
    <t>Boxer / Pit</t>
  </si>
  <si>
    <t>dangerous dog</t>
  </si>
  <si>
    <t>Mr Whiskers</t>
  </si>
  <si>
    <t>Bel Mal</t>
  </si>
  <si>
    <t>Ranger</t>
  </si>
  <si>
    <t>injured</t>
  </si>
  <si>
    <t>Jack Russ</t>
  </si>
  <si>
    <t>Roxy</t>
  </si>
  <si>
    <t>Terrier</t>
  </si>
  <si>
    <t>Teddy</t>
  </si>
  <si>
    <t xml:space="preserve">Shep  </t>
  </si>
  <si>
    <t>Flea Allergy</t>
  </si>
  <si>
    <t>Cricket</t>
  </si>
  <si>
    <t>Chi / Jack Russ</t>
  </si>
  <si>
    <t>Mellow</t>
  </si>
  <si>
    <t>Available</t>
  </si>
  <si>
    <t>Ringworm and URI</t>
  </si>
  <si>
    <t>Days in Shelter</t>
  </si>
  <si>
    <t>Stray w/identification</t>
  </si>
  <si>
    <t>Sick / pink collar</t>
  </si>
  <si>
    <t>Itty Bitty</t>
  </si>
  <si>
    <t>Starlight</t>
  </si>
  <si>
    <t>Patchouli</t>
  </si>
  <si>
    <t>Pogo</t>
  </si>
  <si>
    <t>Kiki</t>
  </si>
  <si>
    <t>Microchipped?</t>
  </si>
  <si>
    <t xml:space="preserve">Mama </t>
  </si>
  <si>
    <t>Winnie / Pink Collar</t>
  </si>
  <si>
    <t>Blue Collar</t>
  </si>
  <si>
    <t>Rosie</t>
  </si>
  <si>
    <t>Draco</t>
  </si>
  <si>
    <t>Green Collar / Parvo</t>
  </si>
  <si>
    <t>Back leg issue</t>
  </si>
  <si>
    <t>Pink Collar</t>
  </si>
  <si>
    <t>Black collar / Red leash</t>
  </si>
  <si>
    <t>Dangerous Dog</t>
  </si>
  <si>
    <t>Red Collar</t>
  </si>
  <si>
    <t>Flea Collar</t>
  </si>
  <si>
    <t>Pittsylvania Pet Center / Red Collar</t>
  </si>
  <si>
    <t>Olive Green Collar</t>
  </si>
  <si>
    <t>Total</t>
  </si>
  <si>
    <t>after Hold</t>
  </si>
  <si>
    <t>Stray w/Identification</t>
  </si>
  <si>
    <t>BAS / Born at Shelter</t>
  </si>
  <si>
    <t>RTO / Return to owner</t>
  </si>
  <si>
    <t>Currently at Shelter</t>
  </si>
  <si>
    <t>Adult</t>
  </si>
  <si>
    <t>0-6 months</t>
  </si>
  <si>
    <t>6-12 months</t>
  </si>
  <si>
    <t>Senior</t>
  </si>
  <si>
    <t>Larry</t>
  </si>
  <si>
    <t>Graydy</t>
  </si>
  <si>
    <t>Trap / Feral</t>
  </si>
  <si>
    <t>Feral / Pregnant</t>
  </si>
  <si>
    <t>Not friendly</t>
  </si>
  <si>
    <t>Booty</t>
  </si>
  <si>
    <t>Trap / Front paw injured</t>
  </si>
  <si>
    <t>Macey</t>
  </si>
  <si>
    <t>URI / eye infection</t>
  </si>
  <si>
    <t>Sickly</t>
  </si>
  <si>
    <t>Sick / Old age</t>
  </si>
  <si>
    <t>Candy</t>
  </si>
  <si>
    <t>Low</t>
  </si>
  <si>
    <t>Zara</t>
  </si>
  <si>
    <t>Archie</t>
  </si>
  <si>
    <t>Pete</t>
  </si>
  <si>
    <t>Pet Center</t>
  </si>
  <si>
    <t>Possibly sick</t>
  </si>
  <si>
    <t>Eggman</t>
  </si>
  <si>
    <t>Bell</t>
  </si>
  <si>
    <t>Nina</t>
  </si>
  <si>
    <t>Simba</t>
  </si>
  <si>
    <t>Dottie</t>
  </si>
  <si>
    <t>Ace</t>
  </si>
  <si>
    <t>Grt Pyr</t>
  </si>
  <si>
    <t>Buddy</t>
  </si>
  <si>
    <t xml:space="preserve">Chi / ShihTzu </t>
  </si>
  <si>
    <t>Kyzer</t>
  </si>
  <si>
    <t>Marvin</t>
  </si>
  <si>
    <t>Cosmo</t>
  </si>
  <si>
    <t>Olive</t>
  </si>
  <si>
    <t>Hercules</t>
  </si>
  <si>
    <t>Sheba</t>
  </si>
  <si>
    <t>Aus Shep / Hound</t>
  </si>
  <si>
    <t>Hit by a car</t>
  </si>
  <si>
    <t>Pitbull</t>
  </si>
  <si>
    <t>Euth for owner / sick</t>
  </si>
  <si>
    <t>Lady</t>
  </si>
  <si>
    <t>Husky / Shep</t>
  </si>
  <si>
    <t>Naylah</t>
  </si>
  <si>
    <t xml:space="preserve">Lab  </t>
  </si>
  <si>
    <t>Lana</t>
  </si>
  <si>
    <t>Golden Ret / Lab</t>
  </si>
  <si>
    <t>Black purina collar</t>
  </si>
  <si>
    <t>Red collar</t>
  </si>
  <si>
    <t>Ghost</t>
  </si>
  <si>
    <t>Tow strap</t>
  </si>
  <si>
    <t>Diamond</t>
  </si>
  <si>
    <t>Brownie</t>
  </si>
  <si>
    <t>Tiny</t>
  </si>
  <si>
    <t>Koda</t>
  </si>
  <si>
    <t xml:space="preserve">Husky  </t>
  </si>
  <si>
    <t>Sonny</t>
  </si>
  <si>
    <t>Karma</t>
  </si>
  <si>
    <t>Schanuzer x</t>
  </si>
  <si>
    <t>Cooper</t>
  </si>
  <si>
    <t>Aria</t>
  </si>
  <si>
    <t>Remy</t>
  </si>
  <si>
    <t>Nova</t>
  </si>
  <si>
    <t>Sick and was taken to AMC</t>
  </si>
  <si>
    <t>Black/Pink collar</t>
  </si>
  <si>
    <t>Aggressive</t>
  </si>
  <si>
    <t>Food aggressive</t>
  </si>
  <si>
    <t>pink eyes</t>
  </si>
  <si>
    <t>Carlack</t>
  </si>
  <si>
    <t>Saske</t>
  </si>
  <si>
    <t>Kam</t>
  </si>
  <si>
    <t>Walnut</t>
  </si>
  <si>
    <t>Kennel cough meds not working</t>
  </si>
  <si>
    <t>Chanel</t>
  </si>
  <si>
    <t>Grt Pyr x</t>
  </si>
  <si>
    <t>Poppy</t>
  </si>
  <si>
    <t>Gatsby</t>
  </si>
  <si>
    <t>Halo</t>
  </si>
  <si>
    <t>Pippa</t>
  </si>
  <si>
    <t>Mimi</t>
  </si>
  <si>
    <t>Found injured</t>
  </si>
  <si>
    <t>Poe</t>
  </si>
  <si>
    <t>Wild</t>
  </si>
  <si>
    <t>Flip</t>
  </si>
  <si>
    <t>Little Bit</t>
  </si>
  <si>
    <t>Freddy</t>
  </si>
  <si>
    <t>Doom</t>
  </si>
  <si>
    <t>Knot on back</t>
  </si>
  <si>
    <t>Pebbles</t>
  </si>
  <si>
    <t>Bobtail</t>
  </si>
  <si>
    <t>Sammy</t>
  </si>
  <si>
    <t>Blue checker collar with bell</t>
  </si>
  <si>
    <t>Ella</t>
  </si>
  <si>
    <t>Penelope</t>
  </si>
  <si>
    <t>Found in woods</t>
  </si>
  <si>
    <t>Queen</t>
  </si>
  <si>
    <t>Arrow</t>
  </si>
  <si>
    <t>wounds on legs</t>
  </si>
  <si>
    <t>Smokey</t>
  </si>
  <si>
    <t>Cleo</t>
  </si>
  <si>
    <t>Ivy</t>
  </si>
  <si>
    <t>Gunter</t>
  </si>
  <si>
    <t>Minka</t>
  </si>
  <si>
    <t>Popeye</t>
  </si>
  <si>
    <t>Socks</t>
  </si>
  <si>
    <t>Trap / wild</t>
  </si>
  <si>
    <t>Persian</t>
  </si>
  <si>
    <t>Sadie</t>
  </si>
  <si>
    <t>Opal</t>
  </si>
  <si>
    <t>Selene</t>
  </si>
  <si>
    <t>Isla</t>
  </si>
  <si>
    <t>Bear</t>
  </si>
  <si>
    <t>Nitro</t>
  </si>
  <si>
    <t>Dash</t>
  </si>
  <si>
    <t>Charleene</t>
  </si>
  <si>
    <t>Pregnant</t>
  </si>
  <si>
    <t>Ollie</t>
  </si>
  <si>
    <t>Genevieve</t>
  </si>
  <si>
    <t>Gabby</t>
  </si>
  <si>
    <t>Black Collar - Pregnant</t>
  </si>
  <si>
    <t>Lovey</t>
  </si>
  <si>
    <t>Born today</t>
  </si>
  <si>
    <t>Tilly</t>
  </si>
  <si>
    <t>Serena</t>
  </si>
  <si>
    <t>Sienna</t>
  </si>
  <si>
    <t>Midnight</t>
  </si>
  <si>
    <t>Snickers</t>
  </si>
  <si>
    <t>Oscar</t>
  </si>
  <si>
    <t>Zelda</t>
  </si>
  <si>
    <t>Maxwell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</si>
  <si>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</si>
  <si>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</si>
  <si>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</si>
  <si>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</si>
  <si>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</si>
  <si>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</si>
  <si>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</si>
  <si>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</si>
  <si>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</si>
  <si>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</si>
  <si>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</si>
  <si>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</si>
  <si>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Intakes</t>
  </si>
  <si>
    <t>Sick feral</t>
  </si>
  <si>
    <t>Siri</t>
  </si>
  <si>
    <t>Lola</t>
  </si>
  <si>
    <t>Louie</t>
  </si>
  <si>
    <t>Louey</t>
  </si>
  <si>
    <t>Pearl</t>
  </si>
  <si>
    <t>Reggie</t>
  </si>
  <si>
    <t>Tessa</t>
  </si>
  <si>
    <t>Peahes</t>
  </si>
  <si>
    <t>Sugar</t>
  </si>
  <si>
    <t>Sam</t>
  </si>
  <si>
    <t>Mara</t>
  </si>
  <si>
    <t>Ashby</t>
  </si>
  <si>
    <t>Pumpkin</t>
  </si>
  <si>
    <t>Wicca</t>
  </si>
  <si>
    <t>Pregnant / Wild</t>
  </si>
  <si>
    <t>Ravi</t>
  </si>
  <si>
    <t>Born here</t>
  </si>
  <si>
    <t>Hit by car</t>
  </si>
  <si>
    <t>pregnant</t>
  </si>
  <si>
    <t>died at shelter</t>
  </si>
  <si>
    <t>Jasper</t>
  </si>
  <si>
    <t>Cinnamon</t>
  </si>
  <si>
    <t>Ember</t>
  </si>
  <si>
    <t>Indigo</t>
  </si>
  <si>
    <t>Della</t>
  </si>
  <si>
    <t>Mother</t>
  </si>
  <si>
    <t>Fisky</t>
  </si>
  <si>
    <t>Rusty</t>
  </si>
  <si>
    <t>Fluffy</t>
  </si>
  <si>
    <t>wild / pregnant</t>
  </si>
  <si>
    <t>Connie</t>
  </si>
  <si>
    <t>Neuro problems</t>
  </si>
  <si>
    <t>3 holes in stomach</t>
  </si>
  <si>
    <t>Abandoned</t>
  </si>
  <si>
    <t>very sick</t>
  </si>
  <si>
    <t>very sick / skinny</t>
  </si>
  <si>
    <t>sick</t>
  </si>
  <si>
    <t>fleas</t>
  </si>
  <si>
    <t>Moomoo</t>
  </si>
  <si>
    <t>T'Challa</t>
  </si>
  <si>
    <t>Janet</t>
  </si>
  <si>
    <t>Tippy Toes</t>
  </si>
  <si>
    <t>trapped</t>
  </si>
  <si>
    <t>dying / euth per vet</t>
  </si>
  <si>
    <t>injured / broken back</t>
  </si>
  <si>
    <t>euth for owner</t>
  </si>
  <si>
    <t>hit by car</t>
  </si>
  <si>
    <t>Sick / euth rec from vet</t>
  </si>
  <si>
    <t>euth per vet</t>
  </si>
  <si>
    <t>per vet</t>
  </si>
  <si>
    <t>mean</t>
  </si>
  <si>
    <t>Smokey Joe</t>
  </si>
  <si>
    <t>Sugar Bear</t>
  </si>
  <si>
    <t>Marrigold</t>
  </si>
  <si>
    <t>Sick / per vet</t>
  </si>
  <si>
    <t>Aqua</t>
  </si>
  <si>
    <t>Achria</t>
  </si>
  <si>
    <t>Van Gogh</t>
  </si>
  <si>
    <t>Ziggy</t>
  </si>
  <si>
    <t>Bliss</t>
  </si>
  <si>
    <t>Bleek</t>
  </si>
  <si>
    <t>sick / missing eye</t>
  </si>
  <si>
    <t>Sams club</t>
  </si>
  <si>
    <t>Romeo</t>
  </si>
  <si>
    <t>BeeBee</t>
  </si>
  <si>
    <t>Injured / missing nose</t>
  </si>
  <si>
    <t>Mocha</t>
  </si>
  <si>
    <t>Mother of puppies</t>
  </si>
  <si>
    <t>River</t>
  </si>
  <si>
    <t>Fox Hound</t>
  </si>
  <si>
    <t>Husky</t>
  </si>
  <si>
    <t>Juney</t>
  </si>
  <si>
    <t>Bully x</t>
  </si>
  <si>
    <t>Euth for owner</t>
  </si>
  <si>
    <t>Sheepdog</t>
  </si>
  <si>
    <t>Noble</t>
  </si>
  <si>
    <t>Puppy</t>
  </si>
  <si>
    <t>Jack Russ x</t>
  </si>
  <si>
    <t>Puddin</t>
  </si>
  <si>
    <t>Court hearing</t>
  </si>
  <si>
    <t>Luna</t>
  </si>
  <si>
    <t>Kira</t>
  </si>
  <si>
    <t>Labradoodle</t>
  </si>
  <si>
    <t>Lab / GS x</t>
  </si>
  <si>
    <t>Mini Schnauzer</t>
  </si>
  <si>
    <t>Husher</t>
  </si>
  <si>
    <t>French Bulldog</t>
  </si>
  <si>
    <t>Prolapse</t>
  </si>
  <si>
    <t>Roxie</t>
  </si>
  <si>
    <t>Dupe</t>
  </si>
  <si>
    <t>Duke</t>
  </si>
  <si>
    <t>Toot</t>
  </si>
  <si>
    <t>Minnie</t>
  </si>
  <si>
    <t>Adoption fee paid / food aggressive</t>
  </si>
  <si>
    <t>Lulu</t>
  </si>
  <si>
    <t>Aus Cattle Dog</t>
  </si>
  <si>
    <t>Sparco</t>
  </si>
  <si>
    <t>Clyde</t>
  </si>
  <si>
    <t>Pomeranian x</t>
  </si>
  <si>
    <t>Yoyo</t>
  </si>
  <si>
    <t>Squirt</t>
  </si>
  <si>
    <t>Sassy</t>
  </si>
  <si>
    <t>Smoke</t>
  </si>
  <si>
    <t>per owner</t>
  </si>
  <si>
    <t>Jack</t>
  </si>
  <si>
    <t>Jill</t>
  </si>
  <si>
    <t>Chi / Papillon x</t>
  </si>
  <si>
    <t>German Shep / Chi</t>
  </si>
  <si>
    <t>Izzy</t>
  </si>
  <si>
    <t>Lucy</t>
  </si>
  <si>
    <t>Fat Boy</t>
  </si>
  <si>
    <t>Sweet Girl</t>
  </si>
  <si>
    <t>Snoopy</t>
  </si>
  <si>
    <t>Sweet Boy</t>
  </si>
  <si>
    <t>Cutie</t>
  </si>
  <si>
    <t>Deva</t>
  </si>
  <si>
    <t>Bully / Pit x</t>
  </si>
  <si>
    <t>not friendly</t>
  </si>
  <si>
    <t>prolapse / euth per vet</t>
  </si>
  <si>
    <t>Penny</t>
  </si>
  <si>
    <t>Wally</t>
  </si>
  <si>
    <t>Selena</t>
  </si>
  <si>
    <t>aggressive</t>
  </si>
  <si>
    <t>Pugsley</t>
  </si>
  <si>
    <t>Rottweiler x</t>
  </si>
  <si>
    <t>Carlie</t>
  </si>
  <si>
    <t>Amer Bulldog</t>
  </si>
  <si>
    <t>Nala</t>
  </si>
  <si>
    <t>Kennel cough</t>
  </si>
  <si>
    <t>Brd Collie x</t>
  </si>
  <si>
    <t>Slink</t>
  </si>
  <si>
    <t>Heart</t>
  </si>
  <si>
    <t>Catahoula Leopard</t>
  </si>
  <si>
    <t>Ryelow</t>
  </si>
  <si>
    <t xml:space="preserve">Lab / Pit </t>
  </si>
  <si>
    <t>Benny</t>
  </si>
  <si>
    <t>Big Dog</t>
  </si>
  <si>
    <t>Belg Mal</t>
  </si>
  <si>
    <t>Yorkie</t>
  </si>
  <si>
    <t>Toby Keith</t>
  </si>
  <si>
    <t>Theo</t>
  </si>
  <si>
    <t>Dach / Poodle x</t>
  </si>
  <si>
    <t>Marley</t>
  </si>
  <si>
    <t>Star</t>
  </si>
  <si>
    <t>Golden Ret</t>
  </si>
  <si>
    <t>Rex</t>
  </si>
  <si>
    <t>Piper</t>
  </si>
  <si>
    <t>Bulldog</t>
  </si>
  <si>
    <t>Hazel</t>
  </si>
  <si>
    <t>Sphinx</t>
  </si>
  <si>
    <t>Patty</t>
  </si>
  <si>
    <t>Cocker Spaniel x</t>
  </si>
  <si>
    <t>Loki</t>
  </si>
  <si>
    <t>Thor</t>
  </si>
  <si>
    <t>Dale</t>
  </si>
  <si>
    <t>German Shep / Husky</t>
  </si>
  <si>
    <t>Rye</t>
  </si>
  <si>
    <t>Poodle x</t>
  </si>
  <si>
    <t>Brd Collie</t>
  </si>
  <si>
    <t>ShihTzu / Chi</t>
  </si>
  <si>
    <t>Mira</t>
  </si>
  <si>
    <t>Winnie</t>
  </si>
  <si>
    <t>Boxer x</t>
  </si>
  <si>
    <t>Boxer</t>
  </si>
  <si>
    <t>Dolly</t>
  </si>
  <si>
    <t>Walker Hound</t>
  </si>
  <si>
    <t>Blue Heeler x</t>
  </si>
  <si>
    <t>Lilly</t>
  </si>
  <si>
    <t xml:space="preserve">Chi </t>
  </si>
  <si>
    <t>Per owner</t>
  </si>
  <si>
    <t>Pug</t>
  </si>
  <si>
    <t>Maltese</t>
  </si>
  <si>
    <t>Yorkie x</t>
  </si>
  <si>
    <t>Dach x</t>
  </si>
  <si>
    <t>Sharpei</t>
  </si>
  <si>
    <t xml:space="preserve">Dach </t>
  </si>
  <si>
    <t>Sky</t>
  </si>
  <si>
    <t>English Bulldog</t>
  </si>
  <si>
    <t>Blu</t>
  </si>
  <si>
    <t>at vet</t>
  </si>
  <si>
    <t>Sosa</t>
  </si>
  <si>
    <t>Mya</t>
  </si>
  <si>
    <t>Dutch</t>
  </si>
  <si>
    <t>Solder</t>
  </si>
  <si>
    <t>Brown</t>
  </si>
  <si>
    <t>Nieve</t>
  </si>
  <si>
    <t>Spot</t>
  </si>
  <si>
    <t>Serenity</t>
  </si>
  <si>
    <t>eyes look sick</t>
  </si>
  <si>
    <t>Mufasa</t>
  </si>
  <si>
    <t xml:space="preserve">Lab </t>
  </si>
  <si>
    <t>%</t>
  </si>
  <si>
    <t>for owner</t>
  </si>
  <si>
    <t>Bow</t>
  </si>
  <si>
    <t>Poodle / Yorkie</t>
  </si>
  <si>
    <t>Eddie</t>
  </si>
  <si>
    <t>Symba</t>
  </si>
  <si>
    <t>Suede</t>
  </si>
  <si>
    <t>Gidget</t>
  </si>
  <si>
    <t>Reese</t>
  </si>
  <si>
    <t>Dying</t>
  </si>
  <si>
    <t>ShihTzu / Poodle</t>
  </si>
  <si>
    <t>Peanut Butter</t>
  </si>
  <si>
    <t>Eng Mastiff</t>
  </si>
  <si>
    <t>bite hold</t>
  </si>
  <si>
    <t>Bennett</t>
  </si>
  <si>
    <t>Sprout</t>
  </si>
  <si>
    <t>Nilla</t>
  </si>
  <si>
    <t>Marble</t>
  </si>
  <si>
    <t>Chewy</t>
  </si>
  <si>
    <t>Cocoa</t>
  </si>
  <si>
    <t>Roxanne</t>
  </si>
  <si>
    <t>Pom / Chi</t>
  </si>
  <si>
    <t>Sneaker</t>
  </si>
  <si>
    <t>Scrappy</t>
  </si>
  <si>
    <t>Moo</t>
  </si>
  <si>
    <t>Ombre</t>
  </si>
  <si>
    <t>Cash</t>
  </si>
  <si>
    <t>Papilion</t>
  </si>
  <si>
    <t>Doberman</t>
  </si>
  <si>
    <t>Ricco</t>
  </si>
  <si>
    <t>Nico</t>
  </si>
  <si>
    <t>Jester</t>
  </si>
  <si>
    <t>Bentlee</t>
  </si>
  <si>
    <t>Cain Corso</t>
  </si>
  <si>
    <t>Lucky</t>
  </si>
  <si>
    <t>Sunday</t>
  </si>
  <si>
    <t>had 10 puppies 7/1</t>
  </si>
  <si>
    <t>Hansel</t>
  </si>
  <si>
    <t>per owner?</t>
  </si>
  <si>
    <t>Remi</t>
  </si>
  <si>
    <t>Aussie x</t>
  </si>
  <si>
    <t>RTO / Returned to Owner</t>
  </si>
  <si>
    <t>DOA or Died at Shelter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</si>
</sst>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6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4"/>
      <color theme="1"/>
      <name val="Aptos Narrow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8"/>
      <color theme="1"/>
      <name val="Aptos Narrow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D7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AEB9B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1" fillId="0" borderId="0" xfId="1" applyAlignment="1">
      <alignment horizontal="left"/>
    </xf>
    <xf numFmtId="0" fontId="1" fillId="0" borderId="0" xfId="1" applyFill="1" applyAlignment="1">
      <alignment horizontal="left"/>
    </xf>
    <xf numFmtId="0" fontId="0" fillId="3" borderId="0" xfId="0" applyFill="1"/>
    <xf numFmtId="1" fontId="0" fillId="0" borderId="0" xfId="0" applyNumberFormat="1" applyAlignment="1">
      <alignment horizontal="left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4" borderId="0" xfId="0" applyFill="1"/>
    <xf numFmtId="0" fontId="0" fillId="5" borderId="0" xfId="0" applyFill="1"/>
    <xf numFmtId="0" fontId="2" fillId="4" borderId="0" xfId="0" applyFont="1" applyFill="1"/>
    <xf numFmtId="0" fontId="2" fillId="0" borderId="0" xfId="0" applyFont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164" fontId="0" fillId="5" borderId="0" xfId="0" applyNumberFormat="1" applyFill="1" applyAlignment="1">
      <alignment horizontal="left"/>
    </xf>
    <xf numFmtId="9" fontId="5" fillId="7" borderId="0" xfId="0" applyNumberFormat="1" applyFont="1" applyFill="1" applyAlignment="1">
      <alignment vertical="center"/>
    </xf>
    <xf numFmtId="0" fontId="4" fillId="7" borderId="0" xfId="0" applyFont="1" applyFill="1"/>
    <xf numFmtId="0" fontId="4" fillId="0" borderId="0" xfId="0" applyFont="1"/>
    <xf numFmtId="164" fontId="0" fillId="8" borderId="0" xfId="0" applyNumberFormat="1" applyFill="1" applyAlignment="1">
      <alignment horizontal="left"/>
    </xf>
    <xf numFmtId="9" fontId="0" fillId="5" borderId="0" xfId="0" applyNumberFormat="1" applyFill="1"/>
    <xf numFmtId="16" fontId="0" fillId="5" borderId="0" xfId="0" applyNumberFormat="1" applyFill="1"/>
    <xf numFmtId="0" fontId="4" fillId="0" borderId="0" xfId="0" applyFont="1" applyAlignment="1">
      <alignment horizontal="left"/>
    </xf>
    <xf numFmtId="0" fontId="0" fillId="8" borderId="0" xfId="0" applyFill="1" applyAlignment="1">
      <alignment horizontal="left"/>
    </xf>
    <xf numFmtId="0" fontId="0" fillId="8" borderId="0" xfId="0" applyFill="1"/>
    <xf numFmtId="1" fontId="0" fillId="8" borderId="0" xfId="0" applyNumberFormat="1" applyFill="1" applyAlignment="1">
      <alignment horizontal="left"/>
    </xf>
    <xf numFmtId="0" fontId="1" fillId="8" borderId="0" xfId="1" applyFill="1" applyAlignment="1">
      <alignment horizontal="left"/>
    </xf>
    <xf numFmtId="0" fontId="4" fillId="8" borderId="0" xfId="0" applyFont="1" applyFill="1" applyAlignment="1">
      <alignment horizontal="left"/>
    </xf>
    <xf numFmtId="0" fontId="0" fillId="5" borderId="0" xfId="0" applyFill="1" applyAlignment="1">
      <alignment horizontal="left"/>
    </xf>
    <xf numFmtId="1" fontId="0" fillId="5" borderId="0" xfId="0" applyNumberFormat="1" applyFill="1" applyAlignment="1">
      <alignment horizontal="left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left"/>
    </xf>
    <xf numFmtId="0" fontId="5" fillId="6" borderId="0" xfId="0" applyFont="1" applyFill="1" applyAlignment="1">
      <alignment horizontal="center" vertical="center"/>
    </xf>
    <xf numFmtId="9" fontId="5" fillId="6" borderId="0" xfId="0" applyNumberFormat="1" applyFont="1" applyFill="1" applyAlignment="1">
      <alignment horizontal="center" vertical="center"/>
    </xf>
    <xf numFmtId="9" fontId="5" fillId="7" borderId="0" xfId="0" applyNumberFormat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D78"/>
      <color rgb="FFEAE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ropbox.com/scl/fi/y7vj9en6jo6d6puaualn9/41015.pdf?rlkey=x2hhgx0kjhbsmj3llf8brv6gy&amp;dl=0" TargetMode="External"/><Relationship Id="rId21" Type="http://schemas.openxmlformats.org/officeDocument/2006/relationships/hyperlink" Target="https://www.dropbox.com/scl/fi/esuojhzr0yj7ixwlfth9y/41314.pdf?rlkey=q7urpa3oiq1qjbtxsblv2v8fc&amp;dl=0" TargetMode="External"/><Relationship Id="rId42" Type="http://schemas.openxmlformats.org/officeDocument/2006/relationships/hyperlink" Target="https://www.dropbox.com/scl/fi/mh8c485917icfwlmzznoh/41100.pdf?rlkey=pdd1drgt5t4psziqp87r2wxj9&amp;dl=0" TargetMode="External"/><Relationship Id="rId63" Type="http://schemas.openxmlformats.org/officeDocument/2006/relationships/hyperlink" Target="https://www.dropbox.com/scl/fi/7y4i6d51hb5yqffx3te04/41084.pdf?rlkey=jbg67ergxv6skxfno57x3eid4&amp;dl=0" TargetMode="External"/><Relationship Id="rId84" Type="http://schemas.openxmlformats.org/officeDocument/2006/relationships/hyperlink" Target="https://www.dropbox.com/scl/fi/4wy1ueu6ncaljwkkrkxx9/41363.pdf?rlkey=3lpnmvxao5g12r6vnnk7mxs74&amp;dl=0" TargetMode="External"/><Relationship Id="rId138" Type="http://schemas.openxmlformats.org/officeDocument/2006/relationships/hyperlink" Target="https://www.dropbox.com/scl/fi/8tbewjl00la90idkrl3a1/41098.pdf?rlkey=iota03ne4nmzu2jsgyivbbdfi&amp;dl=0" TargetMode="External"/><Relationship Id="rId159" Type="http://schemas.openxmlformats.org/officeDocument/2006/relationships/hyperlink" Target="https://www.dropbox.com/scl/fi/zcisp5crisasfesqtb5x0/41179.pdf?rlkey=3c0ousouu0ixd51ou2ujxqsno&amp;dl=0" TargetMode="External"/><Relationship Id="rId170" Type="http://schemas.openxmlformats.org/officeDocument/2006/relationships/hyperlink" Target="https://www.dropbox.com/scl/fi/4el0o79kxggt6hsz10li0/41211.pdf?rlkey=xc5gj7b3ipo3fk91wgt8l8u9h&amp;dl=0" TargetMode="External"/><Relationship Id="rId191" Type="http://schemas.openxmlformats.org/officeDocument/2006/relationships/hyperlink" Target="https://www.dropbox.com/scl/fi/kzfhqwc93sa820wa7xfas/41350.pdf?rlkey=dh61oe4ijhth6nc0n513eycc1&amp;dl=0" TargetMode="External"/><Relationship Id="rId205" Type="http://schemas.openxmlformats.org/officeDocument/2006/relationships/hyperlink" Target="https://www.dropbox.com/scl/fi/0kuj5wpf3vkwteqx3hs8e/41371.pdf?rlkey=poqiw3npzs3h6lkuadk6zk6bn&amp;dl=0" TargetMode="External"/><Relationship Id="rId107" Type="http://schemas.openxmlformats.org/officeDocument/2006/relationships/hyperlink" Target="https://www.dropbox.com/scl/fi/2fe09k3cd4zjylgfhedi8/40968.pdf?rlkey=i491al6gksxc3qmfhzb1ap4g8&amp;dl=0" TargetMode="External"/><Relationship Id="rId11" Type="http://schemas.openxmlformats.org/officeDocument/2006/relationships/hyperlink" Target="https://www.dropbox.com/scl/fi/svhfur6y30t3w6kf21je1/41018.pdf?rlkey=7fereb88t2y7n6yf0e6voydpo&amp;dl=0" TargetMode="External"/><Relationship Id="rId32" Type="http://schemas.openxmlformats.org/officeDocument/2006/relationships/hyperlink" Target="https://www.dropbox.com/scl/fi/lzs4bgji42nhuimp5w2kh/40945.pdf?rlkey=3glxgyxlp42zcyg9zwmj1pkq5&amp;dl=0" TargetMode="External"/><Relationship Id="rId53" Type="http://schemas.openxmlformats.org/officeDocument/2006/relationships/hyperlink" Target="https://www.dropbox.com/scl/fi/3ex71mr46dgg5yutt7lz9/41129.pdf?rlkey=p4sghmrmjp3izv15a19ql0uci&amp;dl=0" TargetMode="External"/><Relationship Id="rId74" Type="http://schemas.openxmlformats.org/officeDocument/2006/relationships/hyperlink" Target="https://www.dropbox.com/scl/fi/tlkf1bbpssiaq3dgh8inn/41239.pdf?rlkey=alziinzr6tjrbahzr9r7lxoms&amp;dl=0" TargetMode="External"/><Relationship Id="rId128" Type="http://schemas.openxmlformats.org/officeDocument/2006/relationships/hyperlink" Target="https://www.dropbox.com/scl/fi/7wtagm779zn9ej7xgo1wt/41060.pdf?rlkey=4fft4f7dsnhqhbwq0n7rwz4b3&amp;dl=0" TargetMode="External"/><Relationship Id="rId149" Type="http://schemas.openxmlformats.org/officeDocument/2006/relationships/hyperlink" Target="https://www.dropbox.com/scl/fi/hwr7gm15f1j09zdrxxpc2/41152.pdf?rlkey=o0nfxr9rrtdc694i8s4b9j9nr&amp;dl=0" TargetMode="External"/><Relationship Id="rId5" Type="http://schemas.openxmlformats.org/officeDocument/2006/relationships/hyperlink" Target="https://www.dropbox.com/scl/fi/2df2vtrk6s4vik8udduuf/40284.pdf?rlkey=3c98wufak0qyhtr2nkm5u2yr6&amp;dl=0" TargetMode="External"/><Relationship Id="rId95" Type="http://schemas.openxmlformats.org/officeDocument/2006/relationships/hyperlink" Target="https://www.dropbox.com/scl/fi/4vg3j9j25638okhcjjj4a/40119.pdf?rlkey=gxgxhz54p33rk7lygwkelr3dp&amp;dl=0" TargetMode="External"/><Relationship Id="rId160" Type="http://schemas.openxmlformats.org/officeDocument/2006/relationships/hyperlink" Target="https://www.dropbox.com/scl/fi/2t79kw867j03x5tane00v/41180.pdf?rlkey=cmuodxbsnr30hzzdg6pvsg80x&amp;dl=0" TargetMode="External"/><Relationship Id="rId181" Type="http://schemas.openxmlformats.org/officeDocument/2006/relationships/hyperlink" Target="https://www.dropbox.com/scl/fi/52y7b9hs8k2p7bnrbds9t/41278.pdf?rlkey=257oz5xxdycc3thzn6ib45cvn&amp;dl=0" TargetMode="External"/><Relationship Id="rId216" Type="http://schemas.openxmlformats.org/officeDocument/2006/relationships/hyperlink" Target="https://www.dropbox.com/scl/fi/yywojw53c18bg3bsrvdyv/41444.pdf?rlkey=kmet7sbm62tlb4ey6z1cp8tmz&amp;dl=0" TargetMode="External"/><Relationship Id="rId22" Type="http://schemas.openxmlformats.org/officeDocument/2006/relationships/hyperlink" Target="https://www.dropbox.com/scl/fi/h0risoue26mes1b2mmoka/40977.pdf?rlkey=ajl9kiy42zstf20f9y3s6ypi6&amp;dl=0" TargetMode="External"/><Relationship Id="rId43" Type="http://schemas.openxmlformats.org/officeDocument/2006/relationships/hyperlink" Target="https://www.dropbox.com/scl/fi/12oorms9h5wlxam6axs2n/41099.pdf?rlkey=ikgw40t0olluqlpssmuj9xeoh&amp;dl=0" TargetMode="External"/><Relationship Id="rId64" Type="http://schemas.openxmlformats.org/officeDocument/2006/relationships/hyperlink" Target="https://www.dropbox.com/scl/fi/dnc6rlq126j6e9ghd545l/41240.pdf?rlkey=uqd0exvmm31m93d09dyws1kjw&amp;dl=0" TargetMode="External"/><Relationship Id="rId118" Type="http://schemas.openxmlformats.org/officeDocument/2006/relationships/hyperlink" Target="https://www.dropbox.com/scl/fi/l666r4hsa4pl21ik3rceg/41016.pdf?rlkey=vomp1q6n8jkqvw419m3feydu5&amp;dl=0" TargetMode="External"/><Relationship Id="rId139" Type="http://schemas.openxmlformats.org/officeDocument/2006/relationships/hyperlink" Target="https://www.dropbox.com/scl/fi/tcd9dqzjpmkoghtv6yluc/41119.pdf?rlkey=f39m96vpb0hudkwrz8a69cpiu&amp;dl=0" TargetMode="External"/><Relationship Id="rId85" Type="http://schemas.openxmlformats.org/officeDocument/2006/relationships/hyperlink" Target="https://www.dropbox.com/scl/fi/6u4m68ledc95e87wds61y/41336.pdf?rlkey=gj5lihzqvgru76c970560avx6&amp;dl=0" TargetMode="External"/><Relationship Id="rId150" Type="http://schemas.openxmlformats.org/officeDocument/2006/relationships/hyperlink" Target="https://www.dropbox.com/scl/fi/fs7uxwerbb8fxlhoaiah3/41153.pdf?rlkey=0vunqrnru7y0l5je4hy88nhug&amp;dl=0" TargetMode="External"/><Relationship Id="rId171" Type="http://schemas.openxmlformats.org/officeDocument/2006/relationships/hyperlink" Target="https://www.dropbox.com/scl/fi/1jj4g1zai11zn9ic7qaiw/41213.pdf?rlkey=vpoai9ebc5ycnu8qejfg2ut6m&amp;dl=0" TargetMode="External"/><Relationship Id="rId192" Type="http://schemas.openxmlformats.org/officeDocument/2006/relationships/hyperlink" Target="https://www.dropbox.com/scl/fi/3wqszztsi76ccas2r14xd/41351.pdf?rlkey=zleuskum77lrhkqxc5y3nq8vj&amp;dl=0" TargetMode="External"/><Relationship Id="rId206" Type="http://schemas.openxmlformats.org/officeDocument/2006/relationships/hyperlink" Target="https://www.dropbox.com/scl/fi/2brwj9afnrnfp330ti8ut/41372.pdf?rlkey=i80x7ysn0hc70k6qidcmv7w3y&amp;dl=0" TargetMode="External"/><Relationship Id="rId12" Type="http://schemas.openxmlformats.org/officeDocument/2006/relationships/hyperlink" Target="https://www.dropbox.com/scl/fi/gydu419vqemx9wtw08sbn/41275.pdf?rlkey=7e166rdramx4mzp9nid37g05b&amp;dl=0" TargetMode="External"/><Relationship Id="rId33" Type="http://schemas.openxmlformats.org/officeDocument/2006/relationships/hyperlink" Target="https://www.dropbox.com/scl/fi/22ldmt1i1sxxpejhvh4fo/41311.pdf?rlkey=g12nebty24rx31vgel7etlso4&amp;dl=0" TargetMode="External"/><Relationship Id="rId108" Type="http://schemas.openxmlformats.org/officeDocument/2006/relationships/hyperlink" Target="https://www.dropbox.com/scl/fi/kecd4b0a7fvlnu4c41m01/40970.pdf?rlkey=wucaj0fh3b3pzxds4ugqi5ddz&amp;dl=0" TargetMode="External"/><Relationship Id="rId129" Type="http://schemas.openxmlformats.org/officeDocument/2006/relationships/hyperlink" Target="https://www.dropbox.com/scl/fi/yfvh1fyx9nznc72z9pjmd/41061.pdf?rlkey=lv6dr6k4nmpd42r8bcymy71h5&amp;dl=0" TargetMode="External"/><Relationship Id="rId54" Type="http://schemas.openxmlformats.org/officeDocument/2006/relationships/hyperlink" Target="https://www.dropbox.com/scl/fi/y0hdxr6dkyq5w0fec7p7w/41181.pdf?rlkey=c3ywxxzyzgujcvavc2otq5v9m&amp;dl=0" TargetMode="External"/><Relationship Id="rId75" Type="http://schemas.openxmlformats.org/officeDocument/2006/relationships/hyperlink" Target="https://www.dropbox.com/scl/fi/n14bxh2l1b83j5vbq7sao/41206.pdf?rlkey=yjlct8s3q7l7crofdkrxtgoyv&amp;dl=0" TargetMode="External"/><Relationship Id="rId96" Type="http://schemas.openxmlformats.org/officeDocument/2006/relationships/hyperlink" Target="https://www.dropbox.com/scl/fi/lygqpgnmtia435cayl1fw/40432.pdf?rlkey=cojq94831ck4f3jdfcvuexrr0&amp;dl=0" TargetMode="External"/><Relationship Id="rId140" Type="http://schemas.openxmlformats.org/officeDocument/2006/relationships/hyperlink" Target="https://www.dropbox.com/scl/fi/tyzrr3zv3wwbyk4pogx5f/41120.pdf?rlkey=yer9be8y8k5djck6jxhlxlbau&amp;dl=0" TargetMode="External"/><Relationship Id="rId161" Type="http://schemas.openxmlformats.org/officeDocument/2006/relationships/hyperlink" Target="https://www.dropbox.com/scl/fi/q8713xoygl8wfk19iizco/41186.pdf?rlkey=fmbur3sxd218asxmbl5oqiqwh&amp;dl=0" TargetMode="External"/><Relationship Id="rId182" Type="http://schemas.openxmlformats.org/officeDocument/2006/relationships/hyperlink" Target="https://www.dropbox.com/scl/fi/0h7xke3316cdkzcrx5h2h/41279.pdf?rlkey=04ke3661czv15imfd346o4kcc&amp;dl=0" TargetMode="External"/><Relationship Id="rId6" Type="http://schemas.openxmlformats.org/officeDocument/2006/relationships/hyperlink" Target="https://www.dropbox.com/scl/fi/86i47ls6c7lvco165vtnp/41194.pdf?rlkey=woehuxcnoegsq7gct4mx7wqkd&amp;dl=0" TargetMode="External"/><Relationship Id="rId23" Type="http://schemas.openxmlformats.org/officeDocument/2006/relationships/hyperlink" Target="https://www.dropbox.com/scl/fi/45bnrax8ravyijuxzut6f/41072.pdf?rlkey=4zbja62c2u5sjmttxxuje2on5&amp;dl=0" TargetMode="External"/><Relationship Id="rId119" Type="http://schemas.openxmlformats.org/officeDocument/2006/relationships/hyperlink" Target="https://www.dropbox.com/scl/fi/qcp503bbtno3zp6k1bet2/41021.pdf?rlkey=avjspiil6s72ox58kdrwial8l&amp;dl=0" TargetMode="External"/><Relationship Id="rId44" Type="http://schemas.openxmlformats.org/officeDocument/2006/relationships/hyperlink" Target="https://www.dropbox.com/scl/fi/9taewcdk5bz23a3937xsq/41109.pdf?rlkey=er17thbfm61gm1s6i5fx3soxn&amp;dl=0" TargetMode="External"/><Relationship Id="rId65" Type="http://schemas.openxmlformats.org/officeDocument/2006/relationships/hyperlink" Target="https://www.dropbox.com/scl/fi/r4gusg4j5xrlvelpfmdg8/40122.pdf?rlkey=vzv58oc5wgf3g82cpollz0fnw&amp;dl=0" TargetMode="External"/><Relationship Id="rId86" Type="http://schemas.openxmlformats.org/officeDocument/2006/relationships/hyperlink" Target="https://www.dropbox.com/scl/fi/n0s05qv0riqwv6tmxxp0r/41381.pdf?rlkey=n46hqf9qmlw4bajxe3jmys3l6&amp;dl=0" TargetMode="External"/><Relationship Id="rId130" Type="http://schemas.openxmlformats.org/officeDocument/2006/relationships/hyperlink" Target="https://www.dropbox.com/scl/fi/zklieyw1lx568z0hlpbdr/41062.pdf?rlkey=fc9creu44o6bcgcd6zuw1p4ci&amp;dl=0" TargetMode="External"/><Relationship Id="rId151" Type="http://schemas.openxmlformats.org/officeDocument/2006/relationships/hyperlink" Target="https://www.dropbox.com/scl/fi/kj9k9dryiu7dy3duae84r/41154.pdf?rlkey=jerc1zmws2rxr7hpkz0riaus1&amp;dl=0" TargetMode="External"/><Relationship Id="rId172" Type="http://schemas.openxmlformats.org/officeDocument/2006/relationships/hyperlink" Target="https://www.dropbox.com/scl/fi/c0432ydqyye0jlf5hvztv/41231.pdf?rlkey=z2lzo756ufokisfc9ldbk7wa6&amp;dl=0" TargetMode="External"/><Relationship Id="rId193" Type="http://schemas.openxmlformats.org/officeDocument/2006/relationships/hyperlink" Target="https://www.dropbox.com/scl/fi/hm6h05tc3ato4etbsi4vt/41352.pdf?rlkey=2oxdkjnw1ezr81bcuf6kqmsr6&amp;dl=0" TargetMode="External"/><Relationship Id="rId207" Type="http://schemas.openxmlformats.org/officeDocument/2006/relationships/hyperlink" Target="https://www.dropbox.com/scl/fi/4xei0td32qtk31wj6crpn/41373.pdf?rlkey=veegwxiavt4ogb27tkw2ez1jw&amp;dl=0" TargetMode="External"/><Relationship Id="rId13" Type="http://schemas.openxmlformats.org/officeDocument/2006/relationships/hyperlink" Target="https://www.dropbox.com/scl/fi/ythizwhtir8y0dw5kwji4/41283.pdf?rlkey=0kmm9f7qiprzyfq6epyb6au81&amp;dl=0" TargetMode="External"/><Relationship Id="rId109" Type="http://schemas.openxmlformats.org/officeDocument/2006/relationships/hyperlink" Target="https://www.dropbox.com/scl/fi/8izklzkdnvj8q9qpnep0z/40988.pdf?rlkey=10zev8jbmumim6nsrpaiznad1&amp;dl=0" TargetMode="External"/><Relationship Id="rId34" Type="http://schemas.openxmlformats.org/officeDocument/2006/relationships/hyperlink" Target="https://www.dropbox.com/scl/fi/cbzi6fx2r8yerw4xsz4s0/40981.pdf?rlkey=uw98v2cxpo1esms1bci26lcb8&amp;dl=0" TargetMode="External"/><Relationship Id="rId55" Type="http://schemas.openxmlformats.org/officeDocument/2006/relationships/hyperlink" Target="https://www.dropbox.com/scl/fi/ou2rlemcx79ppdi33x1sb/41184.pdf?rlkey=7g3fkw46yik4zjvtmimrj26oo&amp;dl=0" TargetMode="External"/><Relationship Id="rId76" Type="http://schemas.openxmlformats.org/officeDocument/2006/relationships/hyperlink" Target="https://www.dropbox.com/scl/fi/rxlhk7jlpn7ts15e3w8xq/41205.pdf?rlkey=trznlrsuka7evv9po3mg3xg2q&amp;dl=0" TargetMode="External"/><Relationship Id="rId97" Type="http://schemas.openxmlformats.org/officeDocument/2006/relationships/hyperlink" Target="https://www.dropbox.com/scl/fi/v52ua1gj2b2kr1wqt4gfw/40479.pdf?rlkey=dpmb3jbmdz6k7shk7jy5xrwdv&amp;dl=0" TargetMode="External"/><Relationship Id="rId120" Type="http://schemas.openxmlformats.org/officeDocument/2006/relationships/hyperlink" Target="https://www.dropbox.com/scl/fi/p74pcd3thitgmd9u4ph62/41027.pdf?rlkey=mam4jv6oals2cpfu9rl5aj8b6&amp;dl=0" TargetMode="External"/><Relationship Id="rId141" Type="http://schemas.openxmlformats.org/officeDocument/2006/relationships/hyperlink" Target="41121.pdf" TargetMode="External"/><Relationship Id="rId7" Type="http://schemas.openxmlformats.org/officeDocument/2006/relationships/hyperlink" Target="https://www.dropbox.com/scl/fi/reqpfvx2v12zu6kafxkqt/40519.pdf?rlkey=h2tzpy9vqhrmbgblb6popy72x&amp;dl=0" TargetMode="External"/><Relationship Id="rId162" Type="http://schemas.openxmlformats.org/officeDocument/2006/relationships/hyperlink" Target="https://www.dropbox.com/scl/fi/fwpys3socupbbhctb2185/41195.pdf?rlkey=yofne2zq7qyin6yzy8w7o38f4&amp;dl=0" TargetMode="External"/><Relationship Id="rId183" Type="http://schemas.openxmlformats.org/officeDocument/2006/relationships/hyperlink" Target="https://www.dropbox.com/scl/fi/lj67w8dpufj6kie30on8o/41310.pdf?rlkey=4ozpugx7qfva3sxqyalmcc4uu&amp;dl=0" TargetMode="External"/><Relationship Id="rId24" Type="http://schemas.openxmlformats.org/officeDocument/2006/relationships/hyperlink" Target="https://www.dropbox.com/scl/fi/kk408qalz8b7z26c4hmtz/41104.pdf?rlkey=2voft1jhllojpfq9xgwyuiv2e&amp;dl=0" TargetMode="External"/><Relationship Id="rId45" Type="http://schemas.openxmlformats.org/officeDocument/2006/relationships/hyperlink" Target="https://www.dropbox.com/scl/fi/mzx0166mudriktb035gox/41264.pdf?rlkey=uuupzvkjb0ybm80emna0vfg8c&amp;dl=0" TargetMode="External"/><Relationship Id="rId66" Type="http://schemas.openxmlformats.org/officeDocument/2006/relationships/hyperlink" Target="https://www.dropbox.com/scl/fi/055cfhbi36dhr964sk2l2/41092.pdf?rlkey=4tfd67euthkt2k3fozcezd1am&amp;dl=0" TargetMode="External"/><Relationship Id="rId87" Type="http://schemas.openxmlformats.org/officeDocument/2006/relationships/hyperlink" Target="https://www.dropbox.com/scl/fi/oeas0p2lj9e5odftwnudu/41383.pdf?rlkey=fm9u3wx1wu35ki49bsef7f69i&amp;dl=0" TargetMode="External"/><Relationship Id="rId110" Type="http://schemas.openxmlformats.org/officeDocument/2006/relationships/hyperlink" Target="https://www.dropbox.com/scl/fi/coadaq1vlbhlgyuaqsmrh/40991.pdf?rlkey=qkk8grmj2jv4yd5btkkrr0y9j&amp;dl=0" TargetMode="External"/><Relationship Id="rId131" Type="http://schemas.openxmlformats.org/officeDocument/2006/relationships/hyperlink" Target="https://www.dropbox.com/scl/fi/ysz8djjzrfkm2r4kar3go/41086.pdf?rlkey=2s0z9tv7sma4dhn0whug9d8cn&amp;dl=0" TargetMode="External"/><Relationship Id="rId152" Type="http://schemas.openxmlformats.org/officeDocument/2006/relationships/hyperlink" Target="https://www.dropbox.com/scl/fi/o8fj4l11vpq52j3j9uftr/41158.pdf?rlkey=a85va6qh20f1yejf0tqqxlrcg&amp;dl=0" TargetMode="External"/><Relationship Id="rId173" Type="http://schemas.openxmlformats.org/officeDocument/2006/relationships/hyperlink" Target="https://www.dropbox.com/scl/fi/i8ryoo22rpg0dapirceua/41238.pdf?rlkey=s9pkexrj2hlwkhs8kngrzt4l2&amp;dl=0" TargetMode="External"/><Relationship Id="rId194" Type="http://schemas.openxmlformats.org/officeDocument/2006/relationships/hyperlink" Target="https://www.dropbox.com/scl/fi/p1qh1kukrxkoiv4hdre0p/41353.pdf?rlkey=cepzgvvf1bs6xjho7dqzd5wbh&amp;dl=0" TargetMode="External"/><Relationship Id="rId208" Type="http://schemas.openxmlformats.org/officeDocument/2006/relationships/hyperlink" Target="https://www.dropbox.com/scl/fi/iiba448kkgy6tj58o0hkg/41374.pdf?rlkey=v10b74a0u2uju0thhy263ggoz&amp;dl=0" TargetMode="External"/><Relationship Id="rId19" Type="http://schemas.openxmlformats.org/officeDocument/2006/relationships/hyperlink" Target="https://www.dropbox.com/scl/fi/m29tdcevyf3vj8evezsum/41138.pdf?rlkey=laact1tseq6u8h990zhvpbm0s&amp;dl=0" TargetMode="External"/><Relationship Id="rId14" Type="http://schemas.openxmlformats.org/officeDocument/2006/relationships/hyperlink" Target="https://www.dropbox.com/scl/fi/86dznqw5wwo2q4qwy36sj/41276.pdf?rlkey=0x4gwijuepdrj81d3wud2h9l5&amp;dl=0" TargetMode="External"/><Relationship Id="rId30" Type="http://schemas.openxmlformats.org/officeDocument/2006/relationships/hyperlink" Target="https://www.dropbox.com/scl/fi/3gj1w5skpwh89ssl9l2ty/41313.pdf?rlkey=r5tfpi8kfbsxi6bwod3vgsvkg&amp;dl=0" TargetMode="External"/><Relationship Id="rId35" Type="http://schemas.openxmlformats.org/officeDocument/2006/relationships/hyperlink" Target="https://www.dropbox.com/scl/fi/y1nh1tekoc3eyrvhzw6sd/41069.pdf?rlkey=t8g6oe29wv9sfbyyj27nyd7ls&amp;dl=0" TargetMode="External"/><Relationship Id="rId56" Type="http://schemas.openxmlformats.org/officeDocument/2006/relationships/hyperlink" Target="https://www.dropbox.com/scl/fi/9ut145qd5teyn22ezgq4s/41183.pdf?rlkey=mn1zl0vjqbo81dq7f1j98ma6v&amp;dl=0" TargetMode="External"/><Relationship Id="rId77" Type="http://schemas.openxmlformats.org/officeDocument/2006/relationships/hyperlink" Target="https://www.dropbox.com/scl/fi/dqtvew7s3yf0unyslqi8q/41255.pdf?rlkey=k6ltkazdqgst3cqxyiw8dsads&amp;dl=0" TargetMode="External"/><Relationship Id="rId100" Type="http://schemas.openxmlformats.org/officeDocument/2006/relationships/hyperlink" Target="https://www.dropbox.com/scl/fi/29f4pedw166o9lf11qcwh/40762.pdf?rlkey=9p4fqwa5133pabz7cjjexwmby&amp;dl=0" TargetMode="External"/><Relationship Id="rId105" Type="http://schemas.openxmlformats.org/officeDocument/2006/relationships/hyperlink" Target="https://www.dropbox.com/scl/fi/76lkw3s2rdodlfmy7pfgl/40958.pdf?rlkey=3sngy577xaakdta807cmkh8ts&amp;dl=0" TargetMode="External"/><Relationship Id="rId126" Type="http://schemas.openxmlformats.org/officeDocument/2006/relationships/hyperlink" Target="https://www.dropbox.com/scl/fi/jovo7pm3n6nre3j14r3ut/41057.pdf?rlkey=vok6n5q6l6ytnjc2woi3pei6m&amp;dl=0" TargetMode="External"/><Relationship Id="rId147" Type="http://schemas.openxmlformats.org/officeDocument/2006/relationships/hyperlink" Target="https://www.dropbox.com/scl/fi/0gwbrd96sm94on2dn5cgk/41135.pdf?rlkey=gg6ddkv19t9s8ogdln2kjfdo8&amp;dl=0" TargetMode="External"/><Relationship Id="rId168" Type="http://schemas.openxmlformats.org/officeDocument/2006/relationships/hyperlink" Target="https://www.dropbox.com/scl/fi/1ft37zm3vjwlbkdzmj8fh/41204.pdf?rlkey=38t0yh0pxnlqqfpjw3wayxb0r&amp;dl=0" TargetMode="External"/><Relationship Id="rId8" Type="http://schemas.openxmlformats.org/officeDocument/2006/relationships/hyperlink" Target="https://www.dropbox.com/scl/fi/bnbho8kia6iucrvtx0fsj/40291.pdf?rlkey=7i7zym28rddqhf10lfnmh3jdi&amp;dl=0" TargetMode="External"/><Relationship Id="rId51" Type="http://schemas.openxmlformats.org/officeDocument/2006/relationships/hyperlink" Target="https://www.dropbox.com/scl/fi/q8mq0q8yshqigatbmruxr/41147.pdf?rlkey=r5bshiyb72ujoapycs3tuyv8z&amp;dl=0" TargetMode="External"/><Relationship Id="rId72" Type="http://schemas.openxmlformats.org/officeDocument/2006/relationships/hyperlink" Target="https://www.dropbox.com/scl/fi/vw6ulvi8eqpphcpqnyfej/41160.pdf?rlkey=j1w5aze64mbpk5rtlfk9mv88f&amp;dl=0" TargetMode="External"/><Relationship Id="rId93" Type="http://schemas.openxmlformats.org/officeDocument/2006/relationships/hyperlink" Target="https://www.dropbox.com/scl/fi/ha7c63chtsp4wjrpbux7z/41325.pdf?rlkey=p92yhxyumnyb14pue77himea9&amp;dl=0" TargetMode="External"/><Relationship Id="rId98" Type="http://schemas.openxmlformats.org/officeDocument/2006/relationships/hyperlink" Target="https://www.dropbox.com/scl/fi/maiobs16u1ex5nsfu2fvw/40491.pdf?rlkey=sf5t83u8apk5iti19ucdpl7l6&amp;dl=0" TargetMode="External"/><Relationship Id="rId121" Type="http://schemas.openxmlformats.org/officeDocument/2006/relationships/hyperlink" Target="41030.pdf" TargetMode="External"/><Relationship Id="rId142" Type="http://schemas.openxmlformats.org/officeDocument/2006/relationships/hyperlink" Target="https://www.dropbox.com/scl/fi/92omu5g2mhjmm7lh4q25k/41122.pdf?rlkey=74py1sif5biww5tfrq0eg27ei&amp;dl=0" TargetMode="External"/><Relationship Id="rId163" Type="http://schemas.openxmlformats.org/officeDocument/2006/relationships/hyperlink" Target="https://www.dropbox.com/scl/fi/4e6pnkg0f9xlxt9mgqqor/41196.pdf?rlkey=prswt5033n215jxyn6fbti5ub&amp;dl=0" TargetMode="External"/><Relationship Id="rId184" Type="http://schemas.openxmlformats.org/officeDocument/2006/relationships/hyperlink" Target="https://www.dropbox.com/scl/fi/dkegcsz3dm9amjz8v1cxm/41317.pdf?rlkey=cm1ixbs7vhp68bt91rqkyyg8o&amp;dl=0" TargetMode="External"/><Relationship Id="rId189" Type="http://schemas.openxmlformats.org/officeDocument/2006/relationships/hyperlink" Target="https://www.dropbox.com/scl/fi/u01caf0bblgqjv6ig9a5m/41344.pdf?rlkey=0vuwpgkp1e598m7zdcabz15c9&amp;dl=0" TargetMode="External"/><Relationship Id="rId3" Type="http://schemas.openxmlformats.org/officeDocument/2006/relationships/hyperlink" Target="https://www.dropbox.com/scl/fi/5jdtmv7801eie5zhit70d/40755.pdf?rlkey=x415mnzrq6r000be7sczpm3g4&amp;dl=0" TargetMode="External"/><Relationship Id="rId214" Type="http://schemas.openxmlformats.org/officeDocument/2006/relationships/hyperlink" Target="41387.pdf" TargetMode="External"/><Relationship Id="rId25" Type="http://schemas.openxmlformats.org/officeDocument/2006/relationships/hyperlink" Target="https://www.dropbox.com/scl/fi/m2t7yi7rtsdloriocdugm/40979.pdf?rlkey=dy1gj6403u1087q361v5sa6db&amp;dl=0" TargetMode="External"/><Relationship Id="rId46" Type="http://schemas.openxmlformats.org/officeDocument/2006/relationships/hyperlink" Target="https://www.dropbox.com/scl/fi/q16bshtfu2wpvr7lfbnaz/41236.pdf?rlkey=nb8n88w0hil5idg8d065dv3cs&amp;dl=0" TargetMode="External"/><Relationship Id="rId67" Type="http://schemas.openxmlformats.org/officeDocument/2006/relationships/hyperlink" Target="https://www.dropbox.com/scl/fi/z0p3h6bkah35vsb324lqv/41258.pdf?rlkey=6h1p67gdh61xmff87s2np9x40&amp;dl=0" TargetMode="External"/><Relationship Id="rId116" Type="http://schemas.openxmlformats.org/officeDocument/2006/relationships/hyperlink" Target="https://www.dropbox.com/scl/fi/ivs097flylwva0bq4skmy/41014.pdf?rlkey=uvfle3vzcpfzs9g6c04shtu2c&amp;dl=0" TargetMode="External"/><Relationship Id="rId137" Type="http://schemas.openxmlformats.org/officeDocument/2006/relationships/hyperlink" Target="https://www.dropbox.com/scl/fi/vo5knlflele6er8qvws3i/41097.pdf?rlkey=ryawqoi8htbsrvih6ly0eb9dh&amp;dl=0" TargetMode="External"/><Relationship Id="rId158" Type="http://schemas.openxmlformats.org/officeDocument/2006/relationships/hyperlink" Target="41177.pdf" TargetMode="External"/><Relationship Id="rId20" Type="http://schemas.openxmlformats.org/officeDocument/2006/relationships/hyperlink" Target="https://www.dropbox.com/scl/fi/4ye9ff54zp78ccyzjlxnk/41324.pdf?rlkey=dy723um390o6ycehvs0w4zso2&amp;dl=0" TargetMode="External"/><Relationship Id="rId41" Type="http://schemas.openxmlformats.org/officeDocument/2006/relationships/hyperlink" Target="https://www.dropbox.com/scl/fi/hhvhog9wh2hgeberg2sns/41101.pdf?rlkey=phhba1wn9ll3wpi90jjolwmxy&amp;dl=0" TargetMode="External"/><Relationship Id="rId62" Type="http://schemas.openxmlformats.org/officeDocument/2006/relationships/hyperlink" Target="https://www.dropbox.com/scl/fi/on25n7u4q5keuwqaq9iyh/41167.pdf?rlkey=p9lt6049n3jtirhiswq6a9daz&amp;dl=0" TargetMode="External"/><Relationship Id="rId83" Type="http://schemas.openxmlformats.org/officeDocument/2006/relationships/hyperlink" Target="https://www.dropbox.com/scl/fi/6d7v8n3nhsc31o60j9wmq/41365.pdf?rlkey=8ilrdflduxzeg0livi77t3ct0&amp;dl=0" TargetMode="External"/><Relationship Id="rId88" Type="http://schemas.openxmlformats.org/officeDocument/2006/relationships/hyperlink" Target="https://www.dropbox.com/scl/fi/qz642yoawqw0larbpz0my/41382.pdf?rlkey=4qhb05wzqjt14a36c7d0bu4ag&amp;dl=0" TargetMode="External"/><Relationship Id="rId111" Type="http://schemas.openxmlformats.org/officeDocument/2006/relationships/hyperlink" Target="https://www.dropbox.com/scl/fi/w5yy7hjl8d9m8brtmr48o/40995.pdf?rlkey=kt0pxear4g2bsxpch9pffo6uk&amp;dl=0" TargetMode="External"/><Relationship Id="rId132" Type="http://schemas.openxmlformats.org/officeDocument/2006/relationships/hyperlink" Target="https://www.dropbox.com/scl/fi/myyrn85pxgltic0ge8v3x/41090.pdf?rlkey=4bxd9rul5jcftw3zgw4naprvp&amp;dl=0" TargetMode="External"/><Relationship Id="rId153" Type="http://schemas.openxmlformats.org/officeDocument/2006/relationships/hyperlink" Target="https://www.dropbox.com/scl/fi/4ir1lu1yl8wq8myddvrfh/41163.pdf?rlkey=mc971y6my15sy2hgryt4n7jeu&amp;dl=0" TargetMode="External"/><Relationship Id="rId174" Type="http://schemas.openxmlformats.org/officeDocument/2006/relationships/hyperlink" Target="https://www.dropbox.com/scl/fi/ktwaxutlg5ur2oz6208hu/41244.pdf?rlkey=3t6ux9icodtoasxxf68z6zl6f&amp;dl=0" TargetMode="External"/><Relationship Id="rId179" Type="http://schemas.openxmlformats.org/officeDocument/2006/relationships/hyperlink" Target="https://www.dropbox.com/scl/fi/659rbnmfophnw4jzcoxto/41271.pdf?rlkey=jpiwam368cs7a33x04d52lhvr&amp;dl=0" TargetMode="External"/><Relationship Id="rId195" Type="http://schemas.openxmlformats.org/officeDocument/2006/relationships/hyperlink" Target="https://www.dropbox.com/scl/fi/1u6q5olwurhc2baqjsm2u/41354.pdf?rlkey=b1dadpqtaqltpn0j522refdps&amp;dl=0" TargetMode="External"/><Relationship Id="rId209" Type="http://schemas.openxmlformats.org/officeDocument/2006/relationships/hyperlink" Target="https://www.dropbox.com/scl/fi/o6ii07k2yvhk6rlzydvn7/41375.pdf?rlkey=fyitj53o61pwe9qjrmo6qi0sm&amp;dl=0" TargetMode="External"/><Relationship Id="rId190" Type="http://schemas.openxmlformats.org/officeDocument/2006/relationships/hyperlink" Target="https://www.dropbox.com/scl/fi/w4aqd5zh79f6y4q6qfejq/41349.pdf?rlkey=x5e4u3nvny48y6kvr7m4e9dl0&amp;dl=0" TargetMode="External"/><Relationship Id="rId204" Type="http://schemas.openxmlformats.org/officeDocument/2006/relationships/hyperlink" Target="https://www.dropbox.com/scl/fi/igh6b88j3ohhngyhgql4d/41370.pdf?rlkey=mtgb9m262authpuj7vuw35dhr&amp;dl=0" TargetMode="External"/><Relationship Id="rId15" Type="http://schemas.openxmlformats.org/officeDocument/2006/relationships/hyperlink" Target="https://www.dropbox.com/scl/fi/tcad2y6yovdm39rqjjice/41001.pdf?rlkey=d18e5gb7tvmeghk3uye76ruhu&amp;dl=0" TargetMode="External"/><Relationship Id="rId36" Type="http://schemas.openxmlformats.org/officeDocument/2006/relationships/hyperlink" Target="https://www.dropbox.com/scl/fi/obt11u9rzkrh9m7reb3ia/41071.pdf?rlkey=z0brx5qcjuvi9l0kul3ej1mnb&amp;dl=0" TargetMode="External"/><Relationship Id="rId57" Type="http://schemas.openxmlformats.org/officeDocument/2006/relationships/hyperlink" Target="https://www.dropbox.com/scl/fi/h6muwxpnc0mzhjsh5infh/41116.pdf?rlkey=5rizh6wdhnrekqsaal2v3c1hy&amp;dl=0" TargetMode="External"/><Relationship Id="rId106" Type="http://schemas.openxmlformats.org/officeDocument/2006/relationships/hyperlink" Target="https://www.dropbox.com/scl/fi/3vsx7ecal0sreqwxhnall/40965.pdf?rlkey=lzfpccpvs63j5jnfhjk6pvyo3&amp;dl=0" TargetMode="External"/><Relationship Id="rId127" Type="http://schemas.openxmlformats.org/officeDocument/2006/relationships/hyperlink" Target="https://www.dropbox.com/scl/fi/8g3go49outzzt3bcjrlql/41059.pdf?rlkey=6zdi5qmfsnq6h03c52pkll4bb&amp;dl=0" TargetMode="External"/><Relationship Id="rId10" Type="http://schemas.openxmlformats.org/officeDocument/2006/relationships/hyperlink" Target="https://www.dropbox.com/scl/fi/vmp1m5k7wt3rv6ihg90p4/41031.pdf?rlkey=ktyf80ksha3wjmq4fitm2puuy&amp;dl=0" TargetMode="External"/><Relationship Id="rId31" Type="http://schemas.openxmlformats.org/officeDocument/2006/relationships/hyperlink" Target="https://www.dropbox.com/scl/fi/ela1dq7rk30b3ghest58l/41106.pdf?rlkey=2u6orq3tlvs4pwv6cbsnh5q0f&amp;dl=0" TargetMode="External"/><Relationship Id="rId52" Type="http://schemas.openxmlformats.org/officeDocument/2006/relationships/hyperlink" Target="https://www.dropbox.com/scl/fi/fbhy8r8z3f2ypfa2c6cz3/41019.pdf?rlkey=0e6trwcy37xyz6f1vbphs9m2j&amp;dl=0" TargetMode="External"/><Relationship Id="rId73" Type="http://schemas.openxmlformats.org/officeDocument/2006/relationships/hyperlink" Target="https://www.dropbox.com/scl/fi/ojrkl2xq8h3eoymfvcg5q/41257.pdf?rlkey=7b8zq9917w2zrc7ezepyiol0a&amp;dl=0" TargetMode="External"/><Relationship Id="rId78" Type="http://schemas.openxmlformats.org/officeDocument/2006/relationships/hyperlink" Target="https://www.dropbox.com/scl/fi/gnh9ow3jqm5g2asra8401/41254.pdf?rlkey=0fl21unp5nyuhzxcyeuee8g7j&amp;dl=0" TargetMode="External"/><Relationship Id="rId94" Type="http://schemas.openxmlformats.org/officeDocument/2006/relationships/hyperlink" Target="https://www.dropbox.com/scl/fi/kpkxesq891xep6b5kvwri/40969.pdf?rlkey=egvgcrtemt8c34vm8qnutbt37&amp;dl=0" TargetMode="External"/><Relationship Id="rId99" Type="http://schemas.openxmlformats.org/officeDocument/2006/relationships/hyperlink" Target="https://www.dropbox.com/scl/fi/8af0pogofec9ptj5loa6g/40701.pdf?rlkey=gk514dgn3xzoquepyi0cah7yr&amp;dl=0" TargetMode="External"/><Relationship Id="rId101" Type="http://schemas.openxmlformats.org/officeDocument/2006/relationships/hyperlink" Target="https://www.dropbox.com/scl/fi/jhurjnqfhkyo6huehj1c9/40912.pdf?rlkey=bonzyhxdoqtihzrtww9pgqgtp&amp;dl=0" TargetMode="External"/><Relationship Id="rId122" Type="http://schemas.openxmlformats.org/officeDocument/2006/relationships/hyperlink" Target="https://www.dropbox.com/scl/fi/0c4ctyor4thq24kz1x1o2/41037.pdf?rlkey=ye7hz37ggnwlsrowtfc8uiwac&amp;dl=0" TargetMode="External"/><Relationship Id="rId143" Type="http://schemas.openxmlformats.org/officeDocument/2006/relationships/hyperlink" Target="https://www.dropbox.com/scl/fi/jdtq6gx6oe4uu5pzaiqqe/41127.pdf?rlkey=3wlapfz9ay2z7hus1tak1rai5&amp;dl=0" TargetMode="External"/><Relationship Id="rId148" Type="http://schemas.openxmlformats.org/officeDocument/2006/relationships/hyperlink" Target="https://www.dropbox.com/scl/fi/ihr5732y7ev3cc4amlfex/41137.pdf?rlkey=gcm1qtg8ep2gbu288p7ux8vj5&amp;dl=0" TargetMode="External"/><Relationship Id="rId164" Type="http://schemas.openxmlformats.org/officeDocument/2006/relationships/hyperlink" Target="https://www.dropbox.com/scl/fi/4y3d4n3pm9gx7tqkkng7l/41197.pdf?rlkey=x645n4sc3plrhgkwismnj9jds&amp;dl=0" TargetMode="External"/><Relationship Id="rId169" Type="http://schemas.openxmlformats.org/officeDocument/2006/relationships/hyperlink" Target="https://www.dropbox.com/scl/fi/9k0pklehg6dl40t3bi3sc/41209.pdf?rlkey=t1qm5pdf560mb6q9ljkr9ufrw&amp;dl=0" TargetMode="External"/><Relationship Id="rId185" Type="http://schemas.openxmlformats.org/officeDocument/2006/relationships/hyperlink" Target="https://www.dropbox.com/scl/fi/e4y77f1z9gtofv4ixjavx/41319.pdf?rlkey=4nk1h7mqad7up8bx6qtoh4os8&amp;dl=0" TargetMode="External"/><Relationship Id="rId4" Type="http://schemas.openxmlformats.org/officeDocument/2006/relationships/hyperlink" Target="https://www.dropbox.com/scl/fi/347hmlxtl5g00wop37s3q/41328.pdf?rlkey=9yad8bapbkx9i6wat1xzf97p9&amp;dl=0" TargetMode="External"/><Relationship Id="rId9" Type="http://schemas.openxmlformats.org/officeDocument/2006/relationships/hyperlink" Target="https://www.dropbox.com/scl/fi/neyd66vz29tjd00dkicpb/40922.pdf?rlkey=cwl7dhiwk33wbsemxol32tksk&amp;dl=0" TargetMode="External"/><Relationship Id="rId180" Type="http://schemas.openxmlformats.org/officeDocument/2006/relationships/hyperlink" Target="https://www.dropbox.com/scl/fi/ydrua6qlbwlgtksh4asxz/41274.pdf?rlkey=sbg2e9i7wq56eomv7z6yw2ep2&amp;dl=0" TargetMode="External"/><Relationship Id="rId210" Type="http://schemas.openxmlformats.org/officeDocument/2006/relationships/hyperlink" Target="https://www.dropbox.com/scl/fi/7xq8tnylvmuv58xbqdbh2/41376.pdf?rlkey=o12q34b82841cwq5pfob7lsq5&amp;dl=0" TargetMode="External"/><Relationship Id="rId215" Type="http://schemas.openxmlformats.org/officeDocument/2006/relationships/hyperlink" Target="https://www.dropbox.com/scl/fi/0qwdrbj0i1diyn3o6ci4p/41388.pdf?rlkey=kzfazwubddej32iddohfhlu75&amp;dl=0" TargetMode="External"/><Relationship Id="rId26" Type="http://schemas.openxmlformats.org/officeDocument/2006/relationships/hyperlink" Target="https://www.dropbox.com/scl/fi/shfbdg1fh3a8o9beq16qc/41312.pdf?rlkey=9sfkwavinigl8y5g95npj2y89&amp;dl=0" TargetMode="External"/><Relationship Id="rId47" Type="http://schemas.openxmlformats.org/officeDocument/2006/relationships/hyperlink" Target="https://www.dropbox.com/scl/fi/awqopjn75rm981hw9jvn2/41108.pdf?rlkey=yi8u8jg96qkl4c9a597aitca6&amp;dl=0" TargetMode="External"/><Relationship Id="rId68" Type="http://schemas.openxmlformats.org/officeDocument/2006/relationships/hyperlink" Target="https://www.dropbox.com/scl/fi/cn7dsz38jtuwhmpd3m6x3/41362.pdf?rlkey=2qbtdgsvjnyrzv2eckkkeo8pq&amp;dl=0" TargetMode="External"/><Relationship Id="rId89" Type="http://schemas.openxmlformats.org/officeDocument/2006/relationships/hyperlink" Target="https://www.dropbox.com/scl/fi/f9mv3ferz2tf2t1676wnq/41384.pdf?rlkey=etli6t7t6nidouc1qiv50q8js&amp;dl=0" TargetMode="External"/><Relationship Id="rId112" Type="http://schemas.openxmlformats.org/officeDocument/2006/relationships/hyperlink" Target="https://www.dropbox.com/scl/fi/bj1min3n3wruv1rcar8lm/40996.pdf?rlkey=6ibk7x6lb152six7wamcl16fj&amp;dl=0" TargetMode="External"/><Relationship Id="rId133" Type="http://schemas.openxmlformats.org/officeDocument/2006/relationships/hyperlink" Target="https://www.dropbox.com/scl/fi/i2wt2pwz0mv7wk8enxke4/41091.pdf?rlkey=2zbu24co2vhsnr7pimckry9gb&amp;dl=0" TargetMode="External"/><Relationship Id="rId154" Type="http://schemas.openxmlformats.org/officeDocument/2006/relationships/hyperlink" Target="https://www.dropbox.com/scl/fi/176nrr5unsygbn7faz86o/41164.pdf?rlkey=f9yv0qbarkapl2bsisc3sm7hw&amp;dl=0" TargetMode="External"/><Relationship Id="rId175" Type="http://schemas.openxmlformats.org/officeDocument/2006/relationships/hyperlink" Target="https://www.dropbox.com/scl/fi/1jv5fjf9w17wj9dg12dqt/41260.pdf?rlkey=ey550v3xsz18fkt2q8h8g7tzi&amp;dl=0" TargetMode="External"/><Relationship Id="rId196" Type="http://schemas.openxmlformats.org/officeDocument/2006/relationships/hyperlink" Target="https://www.dropbox.com/scl/fi/ic3tswcb9jsq8e3syw1ih/41355.pdf?rlkey=61vsksgxosnerovqv478n28zt&amp;dl=0" TargetMode="External"/><Relationship Id="rId200" Type="http://schemas.openxmlformats.org/officeDocument/2006/relationships/hyperlink" Target="https://www.dropbox.com/scl/fi/1pmhsst5xgsvv8q5sksl2/41359.pdf?rlkey=krf1i0gom24rgfff3iwqe5uw9&amp;dl=0" TargetMode="External"/><Relationship Id="rId16" Type="http://schemas.openxmlformats.org/officeDocument/2006/relationships/hyperlink" Target="https://www.dropbox.com/scl/fi/ienvqzvgd1e7nskhxu0x1/41270.pdf?rlkey=hnxiapwir8qyemlt5kg3jpihv&amp;dl=0" TargetMode="External"/><Relationship Id="rId37" Type="http://schemas.openxmlformats.org/officeDocument/2006/relationships/hyperlink" Target="https://www.dropbox.com/scl/fi/oz1jqy377tafjxrwnzcp2/41107.pdf?rlkey=tz6zbyoia9b1jsfx3gpwl3lpb&amp;dl=0" TargetMode="External"/><Relationship Id="rId58" Type="http://schemas.openxmlformats.org/officeDocument/2006/relationships/hyperlink" Target="https://www.dropbox.com/scl/fi/dqrnk1jxeokvnbp0p204k/41115.pdf?rlkey=alviuv5lf4mpq1n4fazbpugfq&amp;dl=0" TargetMode="External"/><Relationship Id="rId79" Type="http://schemas.openxmlformats.org/officeDocument/2006/relationships/hyperlink" Target="https://www.dropbox.com/scl/fi/zbtyp2eesyc9lub3bfpj0/41241.pdf?rlkey=hqgaect0yrmu4hpaisr03yv9v&amp;dl=0" TargetMode="External"/><Relationship Id="rId102" Type="http://schemas.openxmlformats.org/officeDocument/2006/relationships/hyperlink" Target="https://www.dropbox.com/scl/fi/k64d8fllufqtb7btjdfz2/40913.pdf?rlkey=7o4k0t1ukmu9jv5fh7ykef1vw&amp;dl=0" TargetMode="External"/><Relationship Id="rId123" Type="http://schemas.openxmlformats.org/officeDocument/2006/relationships/hyperlink" Target="https://www.dropbox.com/scl/fi/fjd2ena6sw2g99c3n8vqp/41040.pdf?rlkey=yk0f9fm3l2nkzdh8zuwisitdf&amp;dl=0" TargetMode="External"/><Relationship Id="rId144" Type="http://schemas.openxmlformats.org/officeDocument/2006/relationships/hyperlink" Target="https://www.dropbox.com/scl/fi/lc5qi5soimwgpg5lp44ov/41132.pdf?rlkey=qyejhuepcpn4k504kxyl0rqma&amp;dl=0" TargetMode="External"/><Relationship Id="rId90" Type="http://schemas.openxmlformats.org/officeDocument/2006/relationships/hyperlink" Target="https://www.dropbox.com/scl/fi/3ct2hzolobxu8he8xwkxl/41162.pdf?rlkey=z42qx1slzgts16lzmriskvabh&amp;dl=0" TargetMode="External"/><Relationship Id="rId165" Type="http://schemas.openxmlformats.org/officeDocument/2006/relationships/hyperlink" Target="https://www.dropbox.com/scl/fi/q2ejk2ema3dif0x4r8069/41198.pdf?rlkey=f90ieyhsu4zy5jll31qwyxxzn&amp;dl=0" TargetMode="External"/><Relationship Id="rId186" Type="http://schemas.openxmlformats.org/officeDocument/2006/relationships/hyperlink" Target="https://www.dropbox.com/scl/fi/gmaw23kcl99zrw0e0e0jo/41337.pdf?rlkey=an4yhw670ecn0n2kbrl96f368&amp;dl=0" TargetMode="External"/><Relationship Id="rId211" Type="http://schemas.openxmlformats.org/officeDocument/2006/relationships/hyperlink" Target="https://www.dropbox.com/scl/fi/0i2z9tcnmxtgdwtcl82tr/41377.pdf?rlkey=c3w5tiay1sy4xp8xz1lmq2qcw&amp;dl=0" TargetMode="External"/><Relationship Id="rId27" Type="http://schemas.openxmlformats.org/officeDocument/2006/relationships/hyperlink" Target="https://www.dropbox.com/scl/fi/n7p8jlvodd0a67re8ayf5/41315.pdf?rlkey=c9a0wder7lr4ceilvjq9020oz&amp;dl=0" TargetMode="External"/><Relationship Id="rId48" Type="http://schemas.openxmlformats.org/officeDocument/2006/relationships/hyperlink" Target="https://www.dropbox.com/scl/fi/1nltejj2bsc7a4gw9zexf/41151.pdf?rlkey=dr2ydsul8temj5npl215ggk20&amp;dl=0" TargetMode="External"/><Relationship Id="rId69" Type="http://schemas.openxmlformats.org/officeDocument/2006/relationships/hyperlink" Target="https://www.dropbox.com/scl/fi/hzs0tj5fk2y8ij9mudw3e/41253.pdf?rlkey=6me2v5mvgv6ys1jajkvf0erzs&amp;dl=0" TargetMode="External"/><Relationship Id="rId113" Type="http://schemas.openxmlformats.org/officeDocument/2006/relationships/hyperlink" Target="https://www.dropbox.com/scl/fi/zdrq5z6ly6dncer301ha4/41004.pdf?rlkey=wfye48ro2zu6nv3p0vuy8808h&amp;dl=0" TargetMode="External"/><Relationship Id="rId134" Type="http://schemas.openxmlformats.org/officeDocument/2006/relationships/hyperlink" Target="https://www.dropbox.com/scl/fi/ex11dxgtqn7vqukj5tahx/41094.pdf?rlkey=oyswse9d81qymssp691r89fsk&amp;dl=0" TargetMode="External"/><Relationship Id="rId80" Type="http://schemas.openxmlformats.org/officeDocument/2006/relationships/hyperlink" Target="https://www.dropbox.com/scl/fi/dhyd1m7689qxtgfn1yltq/41305.pdf?rlkey=4bz10vs5rr1pqrrpclizs2r8f&amp;dl=0" TargetMode="External"/><Relationship Id="rId155" Type="http://schemas.openxmlformats.org/officeDocument/2006/relationships/hyperlink" Target="https://www.dropbox.com/scl/fi/0dssxpyb3j3pm6duwdkdq/41168.pdf?rlkey=z597tye0ksu0eeihn1s5i67xf&amp;dl=0" TargetMode="External"/><Relationship Id="rId176" Type="http://schemas.openxmlformats.org/officeDocument/2006/relationships/hyperlink" Target="https://www.dropbox.com/scl/fi/99speg1cy2hhmrwllkotn/41265.pdf?rlkey=9y2pcjkp03n1a2w9pzseqenok&amp;dl=0" TargetMode="External"/><Relationship Id="rId197" Type="http://schemas.openxmlformats.org/officeDocument/2006/relationships/hyperlink" Target="https://www.dropbox.com/scl/fi/svtjvpvd7a4zu8v3lvcxu/41356.pdf?rlkey=h2elmw852rl11w3s9penle29u&amp;dl=0" TargetMode="External"/><Relationship Id="rId201" Type="http://schemas.openxmlformats.org/officeDocument/2006/relationships/hyperlink" Target="https://www.dropbox.com/scl/fi/xf7oeor7yhrrdcc8iduo3/41360.pdf?rlkey=axliaq211bjbxbekgxewtxecr&amp;dl=0" TargetMode="External"/><Relationship Id="rId17" Type="http://schemas.openxmlformats.org/officeDocument/2006/relationships/hyperlink" Target="https://www.dropbox.com/scl/fi/1z9gdsk4v4kw5xokyq6g8/41262.pdf?rlkey=oleyow1zzzr904oskyq6aoaqs&amp;dl=0" TargetMode="External"/><Relationship Id="rId38" Type="http://schemas.openxmlformats.org/officeDocument/2006/relationships/hyperlink" Target="https://www.dropbox.com/scl/fi/jxuctpb1f01ape587g2kc/41105.pdf?rlkey=ewbmrbzk2jmq2khi6aymslje6&amp;dl=0" TargetMode="External"/><Relationship Id="rId59" Type="http://schemas.openxmlformats.org/officeDocument/2006/relationships/hyperlink" Target="https://www.dropbox.com/scl/fi/hif30vkt3ajf4n7tkn9sj/41182.pdf?rlkey=ai362528fs4gglzudssmzdslu&amp;dl=0" TargetMode="External"/><Relationship Id="rId103" Type="http://schemas.openxmlformats.org/officeDocument/2006/relationships/hyperlink" Target="https://www.dropbox.com/scl/fi/bqlptin5a3jvq1m1qodw8/40914.pdf?rlkey=ln56yjoxvb8nclohrjfvzxt6w&amp;dl=0" TargetMode="External"/><Relationship Id="rId124" Type="http://schemas.openxmlformats.org/officeDocument/2006/relationships/hyperlink" Target="https://www.dropbox.com/scl/fi/ssz8aemsbokl03ef9ockh/41041.pdf?rlkey=nlhqqj3jr9x0mcrl0rusub1gh&amp;dl=0" TargetMode="External"/><Relationship Id="rId70" Type="http://schemas.openxmlformats.org/officeDocument/2006/relationships/hyperlink" Target="https://www.dropbox.com/scl/fi/y5xholtla9c6aq2q02sd6/41327.pdf?rlkey=v9hk0drv5h5w7shsg87i2lqfr&amp;dl=0" TargetMode="External"/><Relationship Id="rId91" Type="http://schemas.openxmlformats.org/officeDocument/2006/relationships/hyperlink" Target="https://www.dropbox.com/scl/fi/jti7p888jrywjuramuprx/41161.pdf?rlkey=hps8jsmihymfz3qht7ssne9z1&amp;dl=0" TargetMode="External"/><Relationship Id="rId145" Type="http://schemas.openxmlformats.org/officeDocument/2006/relationships/hyperlink" Target="https://www.dropbox.com/scl/fi/1ygucf4fo04td7z93n8in/41133.pdf?rlkey=tho161k1ez46ml0foequ37abq&amp;dl=0" TargetMode="External"/><Relationship Id="rId166" Type="http://schemas.openxmlformats.org/officeDocument/2006/relationships/hyperlink" Target="https://www.dropbox.com/scl/fi/u5bu2ln5ci8ia8zd25gpx/41199.pdf?rlkey=4ivr6y8zdu5vbedigpsx5wmof&amp;dl=0" TargetMode="External"/><Relationship Id="rId187" Type="http://schemas.openxmlformats.org/officeDocument/2006/relationships/hyperlink" Target="https://www.dropbox.com/scl/fi/mmca9t8cyyxuolrt04j3i/41340.pdf?rlkey=d9a5mquevwimaoo6p4bpdfd94&amp;dl=0" TargetMode="External"/><Relationship Id="rId1" Type="http://schemas.openxmlformats.org/officeDocument/2006/relationships/hyperlink" Target="https://www.dropbox.com/scl/fi/62k819i37ym2xauyzw4rz/41322.pdf?rlkey=75j5fs0b8x2hyrw5a42pvdxd5&amp;dl=0" TargetMode="External"/><Relationship Id="rId212" Type="http://schemas.openxmlformats.org/officeDocument/2006/relationships/hyperlink" Target="https://www.dropbox.com/scl/fi/rsjonjfim2was3879ww18/41378.pdf?rlkey=axjpzwye8etvcik8hju708fnz&amp;dl=0" TargetMode="External"/><Relationship Id="rId28" Type="http://schemas.openxmlformats.org/officeDocument/2006/relationships/hyperlink" Target="https://www.dropbox.com/scl/fi/hxj0k1o6muvdn5usgej8x/41070.pdf?rlkey=9k7fspsqo5xltzddp1hmtsnx8&amp;dl=0" TargetMode="External"/><Relationship Id="rId49" Type="http://schemas.openxmlformats.org/officeDocument/2006/relationships/hyperlink" Target="https://www.dropbox.com/scl/fi/44gzhomkorbfscmbihbh2/41012.pdf?rlkey=f7hovgsay7ihu48gnv3liqr66&amp;dl=0" TargetMode="External"/><Relationship Id="rId114" Type="http://schemas.openxmlformats.org/officeDocument/2006/relationships/hyperlink" Target="https://www.dropbox.com/scl/fi/twgv4ljixzjbplq47i21p/41005.pdf?rlkey=uw1ig3g4as7fh0zs9n3u5uy70&amp;dl=0" TargetMode="External"/><Relationship Id="rId60" Type="http://schemas.openxmlformats.org/officeDocument/2006/relationships/hyperlink" Target="https://www.dropbox.com/scl/fi/75cas3r6ysbx8zozfd95d/41148.pdf?rlkey=0e7ihifdxp97yioa10j97i3m4&amp;dl=0" TargetMode="External"/><Relationship Id="rId81" Type="http://schemas.openxmlformats.org/officeDocument/2006/relationships/hyperlink" Target="https://www.dropbox.com/scl/fi/rs4je97pbf3irjmphb211/41256.pdf?rlkey=zcumh6xbflyngxs69bw90voio&amp;dl=0" TargetMode="External"/><Relationship Id="rId135" Type="http://schemas.openxmlformats.org/officeDocument/2006/relationships/hyperlink" Target="https://www.dropbox.com/scl/fi/qe8twxbk9kxwamukyyi4z/41095.pdf?rlkey=rpc7ciw2aeqsz9cebzy5p4lm6&amp;dl=0" TargetMode="External"/><Relationship Id="rId156" Type="http://schemas.openxmlformats.org/officeDocument/2006/relationships/hyperlink" Target="https://www.dropbox.com/scl/fi/49jikmls7qflns2iqqojy/41169.pdf?rlkey=903puadskvpbpolseoztmgwue&amp;dl=0" TargetMode="External"/><Relationship Id="rId177" Type="http://schemas.openxmlformats.org/officeDocument/2006/relationships/hyperlink" Target="https://www.dropbox.com/scl/fi/9yva42iud08j7494jrov0/41266.pdf?rlkey=wbez2ghxpygtl3tq7t325y2yn&amp;dl=0" TargetMode="External"/><Relationship Id="rId198" Type="http://schemas.openxmlformats.org/officeDocument/2006/relationships/hyperlink" Target="https://www.dropbox.com/scl/fi/dskx2q2ixprq59viikesh/41357.pdf?rlkey=yot4v15j8xc4ws0n07v6gkpk3&amp;dl=0" TargetMode="External"/><Relationship Id="rId202" Type="http://schemas.openxmlformats.org/officeDocument/2006/relationships/hyperlink" Target="https://www.dropbox.com/scl/fi/m2xzh0gwbpwne5dodnbb9/41368.pdf?rlkey=2m7mryj60wg9ihpqw553v6wp4&amp;dl=0" TargetMode="External"/><Relationship Id="rId18" Type="http://schemas.openxmlformats.org/officeDocument/2006/relationships/hyperlink" Target="https://www.dropbox.com/scl/fi/7dxc58115v8jcv11jklij/41212.pdf?rlkey=vu4uuihtthi0rjjc542souk64&amp;dl=0" TargetMode="External"/><Relationship Id="rId39" Type="http://schemas.openxmlformats.org/officeDocument/2006/relationships/hyperlink" Target="https://www.dropbox.com/scl/fi/xyaepwxp3eaf09c33enap/41103.pdf?rlkey=gdn09rgkbisj86zwuy7v2k0ee&amp;dl=0" TargetMode="External"/><Relationship Id="rId50" Type="http://schemas.openxmlformats.org/officeDocument/2006/relationships/hyperlink" Target="https://www.dropbox.com/scl/fi/a8crytlzoeebdklrzjilh/41153.pdf?rlkey=ojdnkgsf5o45r81qat5xifsna&amp;dl=0" TargetMode="External"/><Relationship Id="rId104" Type="http://schemas.openxmlformats.org/officeDocument/2006/relationships/hyperlink" Target="https://www.dropbox.com/scl/fi/8s3lzr9j1yc0gw1k32gi9/40915.pdf?rlkey=h5w6hsrjb5m7lv99x6d5uails&amp;dl=0" TargetMode="External"/><Relationship Id="rId125" Type="http://schemas.openxmlformats.org/officeDocument/2006/relationships/hyperlink" Target="https://www.dropbox.com/scl/fi/srycbzzmu7oq8vx78kgwg/41049.pdf?rlkey=f1g6vdt59xlmltpj7l393m012&amp;dl=0" TargetMode="External"/><Relationship Id="rId146" Type="http://schemas.openxmlformats.org/officeDocument/2006/relationships/hyperlink" Target="https://www.dropbox.com/scl/fi/sogdst8ia6ije45td7tkc/41134.pdf?rlkey=gdzlv1xw8pt7p8togz4pnhjxw&amp;dl=0" TargetMode="External"/><Relationship Id="rId167" Type="http://schemas.openxmlformats.org/officeDocument/2006/relationships/hyperlink" Target="https://www.dropbox.com/scl/fi/bx9n9u2tn2yjwnmosjwj5/41203.pdf?rlkey=mkwgf1dkmniojg3s4z6f3syah&amp;dl=0" TargetMode="External"/><Relationship Id="rId188" Type="http://schemas.openxmlformats.org/officeDocument/2006/relationships/hyperlink" Target="https://www.dropbox.com/scl/fi/gp5kxpfhh7x5gd7achg9k/41341.pdf?rlkey=du0c105al8o9wjjzp0if5lbnj&amp;dl=0" TargetMode="External"/><Relationship Id="rId71" Type="http://schemas.openxmlformats.org/officeDocument/2006/relationships/hyperlink" Target="https://www.dropbox.com/scl/fi/cjkwspmu13is6v831mycv/41252.pdf?rlkey=2v7zumxw00c8fmagma1m20evz&amp;dl=0" TargetMode="External"/><Relationship Id="rId92" Type="http://schemas.openxmlformats.org/officeDocument/2006/relationships/hyperlink" Target="https://www.dropbox.com/scl/fi/nze9rdtjt5pp8ps4wbk68/41042.pdf?rlkey=onepl955bx4ff4ictv6u8ojni&amp;dl=0" TargetMode="External"/><Relationship Id="rId213" Type="http://schemas.openxmlformats.org/officeDocument/2006/relationships/hyperlink" Target="https://www.dropbox.com/scl/fi/4o151yv06pa0pttt3nspc/41380.pdf?rlkey=5dp5cw5s9qkrfyhxo7u5f6bmh&amp;dl=0" TargetMode="External"/><Relationship Id="rId2" Type="http://schemas.openxmlformats.org/officeDocument/2006/relationships/hyperlink" Target="https://www.dropbox.com/scl/fi/wq2dkny513ye8n1eqfctf/41323.pdf?rlkey=z4ess4scu5st7deiy22vfrfe1&amp;dl=0" TargetMode="External"/><Relationship Id="rId29" Type="http://schemas.openxmlformats.org/officeDocument/2006/relationships/hyperlink" Target="https://www.dropbox.com/scl/fi/05qfyhdbl7x4300zgs5lm/40980.pdf?rlkey=kcfc9xzgy07hgrlweof5h9lk4&amp;dl=0" TargetMode="External"/><Relationship Id="rId40" Type="http://schemas.openxmlformats.org/officeDocument/2006/relationships/hyperlink" Target="https://www.dropbox.com/scl/fi/4ccenrnc17mwj52fuuvr6/41102.pdf?rlkey=shgrmxq1yhgmel3asqi7vn32j&amp;dl=0" TargetMode="External"/><Relationship Id="rId115" Type="http://schemas.openxmlformats.org/officeDocument/2006/relationships/hyperlink" Target="https://www.dropbox.com/scl/fi/byyhc5gmsiqt4xjebmeg2/41006.pdf?rlkey=mlpyer3scy3gaxeeelxd6n58w&amp;dl=0" TargetMode="External"/><Relationship Id="rId136" Type="http://schemas.openxmlformats.org/officeDocument/2006/relationships/hyperlink" Target="https://www.dropbox.com/scl/fi/i7wdpok1ivr0xrjl3m0j3/41096.pdf?rlkey=4fvzt1x00jaiy02oy2cknx1d1&amp;dl=0" TargetMode="External"/><Relationship Id="rId157" Type="http://schemas.openxmlformats.org/officeDocument/2006/relationships/hyperlink" Target="https://www.dropbox.com/scl/fi/1jamp81j5wzbbhcbit3y3/41172.pdf?rlkey=jcgxt16pepf2jpeavxxrrhwv4&amp;dl=0" TargetMode="External"/><Relationship Id="rId178" Type="http://schemas.openxmlformats.org/officeDocument/2006/relationships/hyperlink" Target="https://www.dropbox.com/scl/fi/s976tymb010bntn81obt0/41267.pdf?rlkey=9wiafp2j5khrbm8ewpkst6vjf&amp;dl=0" TargetMode="External"/><Relationship Id="rId61" Type="http://schemas.openxmlformats.org/officeDocument/2006/relationships/hyperlink" Target="https://www.dropbox.com/scl/fi/hswyrtehn1oz3jby7k1mx/41058.pdf?rlkey=06g4fih8dve6ju7fsf3klcdrx&amp;dl=0" TargetMode="External"/><Relationship Id="rId82" Type="http://schemas.openxmlformats.org/officeDocument/2006/relationships/hyperlink" Target="https://www.dropbox.com/scl/fi/47iphha564qvuqrik4jq1/41364.pdf?rlkey=v2u9a7cfj55xlkvpyaky8ivpg&amp;dl=0" TargetMode="External"/><Relationship Id="rId199" Type="http://schemas.openxmlformats.org/officeDocument/2006/relationships/hyperlink" Target="https://www.dropbox.com/scl/fi/hwararceqonenfv54ebm2/41358.pdf?rlkey=dsk44ev22o64tj83s9msncomc&amp;dl=0" TargetMode="External"/><Relationship Id="rId203" Type="http://schemas.openxmlformats.org/officeDocument/2006/relationships/hyperlink" Target="https://www.dropbox.com/scl/fi/lzoo8ayjst8ibt5u79vqt/41369.pdf?rlkey=m4gngbv70ks9lhmkkvogeksx7&amp;dl=0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ropbox.com/scl/fi/dd75krh2t4oqgrektq20h/40821.pdf?rlkey=ye6o9kjp34wg2loii3cmhqcjt&amp;dl=0" TargetMode="External"/><Relationship Id="rId21" Type="http://schemas.openxmlformats.org/officeDocument/2006/relationships/hyperlink" Target="https://www.dropbox.com/scl/fi/2qhmroxxn2zf1zkh3moct/41227.pdf?rlkey=qf6v57manpdv93tha35y91oh7&amp;dl=0" TargetMode="External"/><Relationship Id="rId42" Type="http://schemas.openxmlformats.org/officeDocument/2006/relationships/hyperlink" Target="https://www.dropbox.com/scl/fi/1nw8sjvbt9p43t6v97j0h/40982.pdf?rlkey=lqyhimw0gcfjit5xfytexm5wb&amp;dl=0" TargetMode="External"/><Relationship Id="rId63" Type="http://schemas.openxmlformats.org/officeDocument/2006/relationships/hyperlink" Target="https://www.dropbox.com/scl/fi/4vv3k711y63426gdq9iv8/41233.pdf?rlkey=gd2bj5mbz27xayl3xn27tkzp4&amp;dl=0" TargetMode="External"/><Relationship Id="rId84" Type="http://schemas.openxmlformats.org/officeDocument/2006/relationships/hyperlink" Target="https://www.dropbox.com/scl/fi/1lbamx3gh6q5kt4j0ymqx/41286.pdf?rlkey=isqpxehm5lkxzhe4z1las7apb&amp;dl=0" TargetMode="External"/><Relationship Id="rId138" Type="http://schemas.openxmlformats.org/officeDocument/2006/relationships/hyperlink" Target="https://www.dropbox.com/scl/fi/fygu9ko3mt3aunrjawnhf/41140.pdf?rlkey=afkh4sgkouohhjoavpkg5x868&amp;dl=0" TargetMode="External"/><Relationship Id="rId159" Type="http://schemas.openxmlformats.org/officeDocument/2006/relationships/hyperlink" Target="https://www.dropbox.com/scl/fi/7xl7oj1kp0o9ulmoraxs3/41207.pdf?rlkey=0n3fjg9w1eunoxy3hivfmi35k&amp;dl=0" TargetMode="External"/><Relationship Id="rId170" Type="http://schemas.openxmlformats.org/officeDocument/2006/relationships/hyperlink" Target="https://www.dropbox.com/scl/fi/8a0znwpic4n0728vvrsvp/41237.pdf?rlkey=odlu4gsaqdpedpy4ag4nooy6b&amp;dl=0" TargetMode="External"/><Relationship Id="rId191" Type="http://schemas.openxmlformats.org/officeDocument/2006/relationships/hyperlink" Target="https://www.dropbox.com/scl/fi/45wxyq03zsa867cjht9vo/41343.pdf?rlkey=753ygre47ulxw039msrqf5hzm&amp;dl=0" TargetMode="External"/><Relationship Id="rId107" Type="http://schemas.openxmlformats.org/officeDocument/2006/relationships/hyperlink" Target="https://www.dropbox.com/scl/fi/6d5nzkdc19pwierj9yfsv/41150.pdf?rlkey=i3a3zjf49i3jhsz4z0bc0nw0o&amp;dl=0" TargetMode="External"/><Relationship Id="rId11" Type="http://schemas.openxmlformats.org/officeDocument/2006/relationships/hyperlink" Target="https://www.dropbox.com/scl/fi/red6t06bc40gjrmoillvt/40353.pdf?rlkey=e4r4ipy88tp3wvpsk5n1hmod1&amp;dl=0" TargetMode="External"/><Relationship Id="rId32" Type="http://schemas.openxmlformats.org/officeDocument/2006/relationships/hyperlink" Target="https://www.dropbox.com/scl/fi/775hb10sh9noyr9xx8s16/41111.pdf?rlkey=lz3kfm77horkih7w54l07zfz1&amp;dl=0" TargetMode="External"/><Relationship Id="rId53" Type="http://schemas.openxmlformats.org/officeDocument/2006/relationships/hyperlink" Target="https://www.dropbox.com/scl/fi/pvup3ybpxnu22pvdb4foy/41329.pdf?rlkey=vs0ljpd1rcqhfy02vxdohjx01&amp;dl=0" TargetMode="External"/><Relationship Id="rId74" Type="http://schemas.openxmlformats.org/officeDocument/2006/relationships/hyperlink" Target="https://www.dropbox.com/scl/fi/lkimj7adgsjlfmxbbqcnl/40024.pdf?rlkey=y0tbsvstfmuleofqgb7tx91nu&amp;dl=0" TargetMode="External"/><Relationship Id="rId128" Type="http://schemas.openxmlformats.org/officeDocument/2006/relationships/hyperlink" Target="https://www.dropbox.com/scl/fi/7ivzccpxbypade07cei1a/41081.pdf?rlkey=txcsve2bt8131k33rer888nep&amp;dl=0" TargetMode="External"/><Relationship Id="rId149" Type="http://schemas.openxmlformats.org/officeDocument/2006/relationships/hyperlink" Target="https://www.dropbox.com/scl/fi/2t2brqjz3fmx7oh45v7g3/41174.pdf?rlkey=skh4h3p15hyal0ymk661ufmwt&amp;dl=0" TargetMode="External"/><Relationship Id="rId5" Type="http://schemas.openxmlformats.org/officeDocument/2006/relationships/hyperlink" Target="https://www.dropbox.com/scl/fi/w3xgjen4vxsljtgabmn3o/40879.pdf?rlkey=vg7weuksi4fe24zjhq2pzixk8&amp;dl=0" TargetMode="External"/><Relationship Id="rId95" Type="http://schemas.openxmlformats.org/officeDocument/2006/relationships/hyperlink" Target="https://www.dropbox.com/scl/fi/rdpmofwzsugr6eppmr5is/41226.pdf?rlkey=uxa0dzbhtdtpd6lk8f7u4z8ay&amp;dl=0" TargetMode="External"/><Relationship Id="rId160" Type="http://schemas.openxmlformats.org/officeDocument/2006/relationships/hyperlink" Target="https://www.dropbox.com/scl/fi/ffm7prlhqj67cjl04b594/41217.pdf?rlkey=ht0gr7xp1w152gw7odp9y7ogi&amp;dl=0" TargetMode="External"/><Relationship Id="rId181" Type="http://schemas.openxmlformats.org/officeDocument/2006/relationships/hyperlink" Target="https://www.dropbox.com/scl/fi/2q4bprx6f1eyot7kgmay3/41299.pdf?rlkey=mjvft3z6orzzxtfgkfqlp0qs0&amp;dl=0" TargetMode="External"/><Relationship Id="rId22" Type="http://schemas.openxmlformats.org/officeDocument/2006/relationships/hyperlink" Target="https://www.dropbox.com/scl/fi/5photje134m003o5ocuuj/41293.pdf?rlkey=ai3eb34gnct7v2sa1h0sbyink&amp;dl=0" TargetMode="External"/><Relationship Id="rId43" Type="http://schemas.openxmlformats.org/officeDocument/2006/relationships/hyperlink" Target="https://www.dropbox.com/scl/fi/g7ikppell275atbwligpj/41002.pdf?rlkey=dmxwizysvaemwvj1uqy88ho3e&amp;dl=0" TargetMode="External"/><Relationship Id="rId64" Type="http://schemas.openxmlformats.org/officeDocument/2006/relationships/hyperlink" Target="https://www.dropbox.com/scl/fi/dcjle1cnv6zf3dzcsuba8/40917.pdf?rlkey=dfm21uzy01s66c317d0tddgs5&amp;dl=0" TargetMode="External"/><Relationship Id="rId118" Type="http://schemas.openxmlformats.org/officeDocument/2006/relationships/hyperlink" Target="https://www.dropbox.com/scl/fi/ti0z00klu6vch2g3gtgzr/40963.pdf?rlkey=50g6hdq69hvvmbcxvu9rgnm1p&amp;dl=0" TargetMode="External"/><Relationship Id="rId139" Type="http://schemas.openxmlformats.org/officeDocument/2006/relationships/hyperlink" Target="https://www.dropbox.com/scl/fi/6l5cpkarcvfkhw8o7dr50/41141.pdf?rlkey=psq9isprdhn4jhizknk0azqhb&amp;dl=0" TargetMode="External"/><Relationship Id="rId85" Type="http://schemas.openxmlformats.org/officeDocument/2006/relationships/hyperlink" Target="https://www.dropbox.com/scl/fi/0pbcoocijtcs001vtp2sm/41075.pdf?rlkey=jz6hxmcpwj6tg79nttrukcylx&amp;dl=0" TargetMode="External"/><Relationship Id="rId150" Type="http://schemas.openxmlformats.org/officeDocument/2006/relationships/hyperlink" Target="https://www.dropbox.com/scl/fi/3e4w1v4iqsj1i9oz5h2st/41175.pdf?rlkey=rvpq496oo358pwlkk5y48rf1t&amp;dl=0" TargetMode="External"/><Relationship Id="rId171" Type="http://schemas.openxmlformats.org/officeDocument/2006/relationships/hyperlink" Target="https://www.dropbox.com/scl/fi/fpx1zv4hhufcfgsowbobf/41249.pdf?rlkey=9545074bowk12rjr8dfrj6eqd&amp;dl=0" TargetMode="External"/><Relationship Id="rId192" Type="http://schemas.openxmlformats.org/officeDocument/2006/relationships/hyperlink" Target="https://www.dropbox.com/scl/fi/hsxemkiqd6eppi9lo6p3z/41345.pdf?rlkey=gzbtlwaikrskgzff0a8f1dw7o&amp;dl=0" TargetMode="External"/><Relationship Id="rId12" Type="http://schemas.openxmlformats.org/officeDocument/2006/relationships/hyperlink" Target="https://www.dropbox.com/scl/fi/5mtrhefy9c3oh17rx17eb/40936.pdf?rlkey=o7xfj0p4wlcfxa5t9lhpqpugy&amp;dl=0" TargetMode="External"/><Relationship Id="rId33" Type="http://schemas.openxmlformats.org/officeDocument/2006/relationships/hyperlink" Target="https://www.dropbox.com/scl/fi/6ix06suwueb22xifxe34p/40994.pdf?rlkey=jozr9emza5kq6oh65tm31bwmb&amp;dl=0" TargetMode="External"/><Relationship Id="rId108" Type="http://schemas.openxmlformats.org/officeDocument/2006/relationships/hyperlink" Target="https://www.dropbox.com/scl/fi/21ckcjzdpj4vk9tfhz78w/40812.pdf?rlkey=xzs7xmourv17ft6mn715kkm23&amp;dl=0" TargetMode="External"/><Relationship Id="rId129" Type="http://schemas.openxmlformats.org/officeDocument/2006/relationships/hyperlink" Target="https://www.dropbox.com/scl/fi/espfwfudjjzhzws0eukns/41082.pdf?rlkey=2gcupxjnr9u5750n0yirluav8&amp;dl=0" TargetMode="External"/><Relationship Id="rId54" Type="http://schemas.openxmlformats.org/officeDocument/2006/relationships/hyperlink" Target="https://www.dropbox.com/scl/fi/5nbmpw5o0wq5d1cx0frux/41331.pdf?rlkey=4jx4irujdcsdthsmi3zz08mch&amp;dl=0" TargetMode="External"/><Relationship Id="rId75" Type="http://schemas.openxmlformats.org/officeDocument/2006/relationships/hyperlink" Target="https://www.dropbox.com/scl/fi/vjmkr1eu4ydw17q9cfejs/41304.pdf?rlkey=b0221xwn6g2vqoe2e8rb98j4r&amp;dl=0" TargetMode="External"/><Relationship Id="rId96" Type="http://schemas.openxmlformats.org/officeDocument/2006/relationships/hyperlink" Target="https://www.dropbox.com/scl/fi/f9dn6mk42ele43zuohc3i/41228.pdf?rlkey=prgtkjk4rfnx4uv9snzknixej&amp;dl=0" TargetMode="External"/><Relationship Id="rId140" Type="http://schemas.openxmlformats.org/officeDocument/2006/relationships/hyperlink" Target="https://www.dropbox.com/scl/fi/2xky80fky8ali1359n8nn/41149.pdf?rlkey=ocbfmalh9mdiakgyjjqbvzy94&amp;dl=0" TargetMode="External"/><Relationship Id="rId161" Type="http://schemas.openxmlformats.org/officeDocument/2006/relationships/hyperlink" Target="https://www.dropbox.com/scl/fi/vfk4vm3nt94sfhso4p6eh/41218.pdf?rlkey=tnoamhd3l58vm60yfokx0otfv&amp;dl=0" TargetMode="External"/><Relationship Id="rId182" Type="http://schemas.openxmlformats.org/officeDocument/2006/relationships/hyperlink" Target="https://www.dropbox.com/scl/fi/pq67pcvwd5qagfpazquaj/41300.pdf?rlkey=84olwg97shcsv4wek14nktyrw&amp;dl=0" TargetMode="External"/><Relationship Id="rId6" Type="http://schemas.openxmlformats.org/officeDocument/2006/relationships/hyperlink" Target="https://www.dropbox.com/scl/fi/geykcufpngivjb83qlagi/41063.pdf?rlkey=vbif79jk39rfs6k6cfj56tu1b&amp;dl=0" TargetMode="External"/><Relationship Id="rId23" Type="http://schemas.openxmlformats.org/officeDocument/2006/relationships/hyperlink" Target="https://www.dropbox.com/scl/fi/kbwe53fbp5580xw9zzack/41379.pdf?rlkey=w1fqk3c26lj5patalp4ngh53g&amp;dl=0" TargetMode="External"/><Relationship Id="rId119" Type="http://schemas.openxmlformats.org/officeDocument/2006/relationships/hyperlink" Target="https://www.dropbox.com/scl/fi/rxjljym93ulaa05m8dfmo/41020.pdf?rlkey=s74a8nw2b9tk8yl3my6g4094a&amp;dl=0" TargetMode="External"/><Relationship Id="rId44" Type="http://schemas.openxmlformats.org/officeDocument/2006/relationships/hyperlink" Target="https://www.dropbox.com/scl/fi/0lbro3u0k3z2a265v4qsq/41056.pdf?rlkey=eab5xglq83nqq2rkl6vxtrop2&amp;dl=0" TargetMode="External"/><Relationship Id="rId65" Type="http://schemas.openxmlformats.org/officeDocument/2006/relationships/hyperlink" Target="https://www.dropbox.com/scl/fi/x17x4kzft25yfrj4522mk/40141.pdf?rlkey=cwr39lzy3sn9jz5imziqqcedo&amp;dl=0" TargetMode="External"/><Relationship Id="rId86" Type="http://schemas.openxmlformats.org/officeDocument/2006/relationships/hyperlink" Target="https://www.dropbox.com/scl/fi/6bv5paaes9uwtwa7w5a2a/41077.pdf?rlkey=jxnh4v5w4862qc4cyqjophs7s&amp;dl=0" TargetMode="External"/><Relationship Id="rId130" Type="http://schemas.openxmlformats.org/officeDocument/2006/relationships/hyperlink" Target="https://www.dropbox.com/scl/fi/xhh6yxdhh8x9tul0fn3xv/41083.pdf?rlkey=i1vllbxb9w2gjl892tfrcdi9x&amp;dl=0" TargetMode="External"/><Relationship Id="rId151" Type="http://schemas.openxmlformats.org/officeDocument/2006/relationships/hyperlink" Target="https://www.dropbox.com/scl/fi/vq10guu0ql7jtp2a4or1o/41176.pdf?rlkey=o3ptplzwozafsazf73q2y8gjr&amp;dl=0" TargetMode="External"/><Relationship Id="rId172" Type="http://schemas.openxmlformats.org/officeDocument/2006/relationships/hyperlink" Target="https://www.dropbox.com/scl/fi/uzhqhp392r7z4b814attl/41251.pdf?rlkey=5qvls4iwtp30hns5rw2yn9nja&amp;dl=0" TargetMode="External"/><Relationship Id="rId193" Type="http://schemas.openxmlformats.org/officeDocument/2006/relationships/hyperlink" Target="https://www.dropbox.com/scl/fi/616hdosxavw8wwgmxdou9/41366.pdf?rlkey=i0vl6cksl05euxmjxifpabk43&amp;dl=0" TargetMode="External"/><Relationship Id="rId13" Type="http://schemas.openxmlformats.org/officeDocument/2006/relationships/hyperlink" Target="https://www.dropbox.com/scl/fi/snt8s8goos1bw7s8hqnqx/40940.pdf?rlkey=1ydim3z71cgge3cgz6eu43kzt&amp;dl=0" TargetMode="External"/><Relationship Id="rId109" Type="http://schemas.openxmlformats.org/officeDocument/2006/relationships/hyperlink" Target="https://www.dropbox.com/scl/fi/7uqxsuxh5ncykpr7mbp4i/40813.pdf?rlkey=4eq0t7l32kbnobo45mmls04b9&amp;dl=0" TargetMode="External"/><Relationship Id="rId34" Type="http://schemas.openxmlformats.org/officeDocument/2006/relationships/hyperlink" Target="https://www.dropbox.com/scl/fi/ydxtgb6w6y7ynnq2bgs18/41065.pdf?rlkey=0hahee95s8i1f63qr1f9vtpdr&amp;dl=0" TargetMode="External"/><Relationship Id="rId55" Type="http://schemas.openxmlformats.org/officeDocument/2006/relationships/hyperlink" Target="https://www.dropbox.com/scl/fi/adb3jqj35azeslwsbkvu9/41330.pdf?rlkey=hokqn9ikyzbxrmf2h4fsjj4q2&amp;dl=0" TargetMode="External"/><Relationship Id="rId76" Type="http://schemas.openxmlformats.org/officeDocument/2006/relationships/hyperlink" Target="https://www.dropbox.com/scl/fi/r4xcvq74m5yeibif2cp9e/41114.pdf?rlkey=sub90wgrnodqr4w8fz6b47tlo&amp;dl=0" TargetMode="External"/><Relationship Id="rId97" Type="http://schemas.openxmlformats.org/officeDocument/2006/relationships/hyperlink" Target="https://www.dropbox.com/scl/fi/082ve8de7tjh0iipxnn7q/41146.pdf?rlkey=rg8qfwh57rpb1sjcp4suwxu9n&amp;dl=0" TargetMode="External"/><Relationship Id="rId120" Type="http://schemas.openxmlformats.org/officeDocument/2006/relationships/hyperlink" Target="https://www.dropbox.com/scl/fi/4kkba2fr0pxfdgltoi2w1/41022.pdf?rlkey=bz9bhcxrudvxasryr3n5fjr77&amp;dl=0" TargetMode="External"/><Relationship Id="rId141" Type="http://schemas.openxmlformats.org/officeDocument/2006/relationships/hyperlink" Target="https://www.dropbox.com/scl/fi/c1g4obku6vhi98jzkvcoq/41156.pdf?rlkey=qbr8z2gksc1tbc5zbzdcotkj6&amp;dl=0" TargetMode="External"/><Relationship Id="rId7" Type="http://schemas.openxmlformats.org/officeDocument/2006/relationships/hyperlink" Target="https://www.dropbox.com/scl/fi/q6j27s1i4xj2nifglhsra/41248.pdf?rlkey=uoj4zzdfeiezvlfj5351tn3hn&amp;dl=0" TargetMode="External"/><Relationship Id="rId162" Type="http://schemas.openxmlformats.org/officeDocument/2006/relationships/hyperlink" Target="https://www.dropbox.com/scl/fi/xxp4r9vd3vdpm9i8muglf/41219.pdf?rlkey=p09bq62vrnwur7gy0yimmwaq3&amp;dl=0" TargetMode="External"/><Relationship Id="rId183" Type="http://schemas.openxmlformats.org/officeDocument/2006/relationships/hyperlink" Target="https://www.dropbox.com/scl/fi/q6pwff8iwfgvhl7wzufqe/41301.pdf?rlkey=1u9gxpgguewqewt1z0c83u3b3&amp;dl=0" TargetMode="External"/><Relationship Id="rId2" Type="http://schemas.openxmlformats.org/officeDocument/2006/relationships/hyperlink" Target="https://www.dropbox.com/scl/fi/3ef2uq3mboc9jku4t2zj6/41074.pdf?rlkey=wtqwk3ilgyez46oz5my91z7iv&amp;dl=0" TargetMode="External"/><Relationship Id="rId29" Type="http://schemas.openxmlformats.org/officeDocument/2006/relationships/hyperlink" Target="https://www.dropbox.com/scl/fi/d4rptyimospphzs4kzjn1/41348.pdf?rlkey=2ct8klygnfoqnc2nnzaoqdeyj&amp;dl=0" TargetMode="External"/><Relationship Id="rId24" Type="http://schemas.openxmlformats.org/officeDocument/2006/relationships/hyperlink" Target="https://www.dropbox.com/scl/fi/thxphek2nglo9wc5e0fab/41051.pdf?rlkey=808x1zebumfomlcx45vde6muh&amp;dl=0" TargetMode="External"/><Relationship Id="rId40" Type="http://schemas.openxmlformats.org/officeDocument/2006/relationships/hyperlink" Target="https://www.dropbox.com/scl/fi/1kxwm0kiyue9ypnezf392/40997.pdf?rlkey=clrwpo2cv68qpo0aitzgwutvj&amp;dl=0" TargetMode="External"/><Relationship Id="rId45" Type="http://schemas.openxmlformats.org/officeDocument/2006/relationships/hyperlink" Target="https://www.dropbox.com/scl/fi/b227p87makqfjykf4fn40/41087.pdf?rlkey=4tjh9qcjor0gww4s05t3ieked&amp;dl=0" TargetMode="External"/><Relationship Id="rId66" Type="http://schemas.openxmlformats.org/officeDocument/2006/relationships/hyperlink" Target="https://www.dropbox.com/scl/fi/lvltjq2gs10vthebdbqm4/41054.pdf?rlkey=gzgqbknkm687rrvm0o4zp1w6q&amp;dl=0" TargetMode="External"/><Relationship Id="rId87" Type="http://schemas.openxmlformats.org/officeDocument/2006/relationships/hyperlink" Target="https://www.dropbox.com/scl/fi/lygytu8vuqg44azsozpg1/41078.pdf?rlkey=cxqjhnnc87dkm4o65fghddakr&amp;dl=0" TargetMode="External"/><Relationship Id="rId110" Type="http://schemas.openxmlformats.org/officeDocument/2006/relationships/hyperlink" Target="https://www.dropbox.com/scl/fi/2y2md5ol2zb0hdjay3i8t/40814.pdf?rlkey=5cl7m59p25kl40tewquwsp16c&amp;dl=0" TargetMode="External"/><Relationship Id="rId115" Type="http://schemas.openxmlformats.org/officeDocument/2006/relationships/hyperlink" Target="https://www.dropbox.com/scl/fi/pkf603vnqeqnppdefra9h/40819.pdf?rlkey=hcvd5smcw11easj31wmf7c840&amp;dl=0" TargetMode="External"/><Relationship Id="rId131" Type="http://schemas.openxmlformats.org/officeDocument/2006/relationships/hyperlink" Target="https://www.dropbox.com/scl/fi/1ih9fl5ely8g8bcchse1h/41085.pdf?rlkey=a00nkd4i1v6ov1r7a086ky2ar&amp;dl=0" TargetMode="External"/><Relationship Id="rId136" Type="http://schemas.openxmlformats.org/officeDocument/2006/relationships/hyperlink" Target="https://www.dropbox.com/scl/fi/28xzf79coxzdtatb4rf41/41136.pdf?rlkey=tiahkdj2wczn2t8jte77vbffu&amp;dl=0" TargetMode="External"/><Relationship Id="rId157" Type="http://schemas.openxmlformats.org/officeDocument/2006/relationships/hyperlink" Target="https://www.dropbox.com/scl/fi/ojyx169gd9nw7nrx0vr8y/41192.pdf?rlkey=23fd847dxbwln1rcto8pf5ozo&amp;dl=0" TargetMode="External"/><Relationship Id="rId178" Type="http://schemas.openxmlformats.org/officeDocument/2006/relationships/hyperlink" Target="https://www.dropbox.com/scl/fi/t1sc0ikmy9a28y0lsqki1/41296.pdf?rlkey=xclt5xayat9ta3f3owm7qe3rs&amp;dl=0" TargetMode="External"/><Relationship Id="rId61" Type="http://schemas.openxmlformats.org/officeDocument/2006/relationships/hyperlink" Target="https://www.dropbox.com/scl/fi/knpcavfw413814klrstip/41287.pdf?rlkey=65p4qyun26gl0m1983f9iqpjd&amp;dl=0" TargetMode="External"/><Relationship Id="rId82" Type="http://schemas.openxmlformats.org/officeDocument/2006/relationships/hyperlink" Target="https://www.dropbox.com/scl/fi/35b8eigzqlyy6d4sv0f95/41250.pdf?rlkey=zswv5fzslkmal6qga5ouzjp4i&amp;dl=0" TargetMode="External"/><Relationship Id="rId152" Type="http://schemas.openxmlformats.org/officeDocument/2006/relationships/hyperlink" Target="https://www.dropbox.com/scl/fi/t4swpwc9na817go2d216h/41187.pdf?rlkey=qd77te2m1shc3hslallnxufoi&amp;dl=0" TargetMode="External"/><Relationship Id="rId173" Type="http://schemas.openxmlformats.org/officeDocument/2006/relationships/hyperlink" Target="https://www.dropbox.com/scl/fi/4bzucxy333nzfx3fd5unm/41268.pdf?rlkey=bvh6ioj38ekitb7wwtosiq6wa&amp;dl=0" TargetMode="External"/><Relationship Id="rId194" Type="http://schemas.openxmlformats.org/officeDocument/2006/relationships/hyperlink" Target="https://www.dropbox.com/scl/fi/6j7jyw1mudqmwur454088/41367.pdf?rlkey=bdqsqrwbhi78sitk4g5ianswa&amp;dl=0" TargetMode="External"/><Relationship Id="rId199" Type="http://schemas.openxmlformats.org/officeDocument/2006/relationships/hyperlink" Target="https://www.dropbox.com/scl/fi/tmqkx86ww96u4ju50ma4i/39412.pdf?rlkey=j9yvkmkou7vweftxh37a4l8br&amp;dl=0" TargetMode="External"/><Relationship Id="rId203" Type="http://schemas.openxmlformats.org/officeDocument/2006/relationships/hyperlink" Target="https://www.dropbox.com/scl/fi/pnfvik3irjbmvklvs7cpn/39416.pdf?rlkey=41jc6kf7jni62pdt4d766hgq7&amp;dl=0" TargetMode="External"/><Relationship Id="rId19" Type="http://schemas.openxmlformats.org/officeDocument/2006/relationships/hyperlink" Target="https://www.dropbox.com/scl/fi/gze7tax1sjq59o6487gcb/41272.pdf?rlkey=8yv00iytqn4ic3be515ixmziy&amp;dl=0" TargetMode="External"/><Relationship Id="rId14" Type="http://schemas.openxmlformats.org/officeDocument/2006/relationships/hyperlink" Target="https://www.dropbox.com/scl/fi/yfc7o5qn8t42fxunv8j36/41214.pdf?rlkey=qtv8cgi1ntr8142co08k0inyr&amp;dl=0" TargetMode="External"/><Relationship Id="rId30" Type="http://schemas.openxmlformats.org/officeDocument/2006/relationships/hyperlink" Target="https://www.dropbox.com/scl/fi/gzr8zei1nsmsg612ay559/41347.pdf?rlkey=399u5aqk0i9pg451nc5qao2hr&amp;dl=0" TargetMode="External"/><Relationship Id="rId35" Type="http://schemas.openxmlformats.org/officeDocument/2006/relationships/hyperlink" Target="https://www.dropbox.com/scl/fi/ulwwliltrl4vpdxezujki/41144.pdf?rlkey=yzx7nqa9ps2n0xnjusew0prlc&amp;dl=0" TargetMode="External"/><Relationship Id="rId56" Type="http://schemas.openxmlformats.org/officeDocument/2006/relationships/hyperlink" Target="https://www.dropbox.com/scl/fi/sqqrkhhao20qjwttls5t7/41229.pdf?rlkey=nfk1ral1ckfigudg33e19104q&amp;dl=0" TargetMode="External"/><Relationship Id="rId77" Type="http://schemas.openxmlformats.org/officeDocument/2006/relationships/hyperlink" Target="https://www.dropbox.com/scl/fi/qmaxgygpbji04cllidgzv/41112.pdf?rlkey=hai9i0ifegb8snpd91xg6q4ph&amp;dl=0" TargetMode="External"/><Relationship Id="rId100" Type="http://schemas.openxmlformats.org/officeDocument/2006/relationships/hyperlink" Target="https://www.dropbox.com/scl/fi/m21ffqcjxvhfytaoixtxf/41178.pdf?rlkey=i57nx44nwarrp9ixbqy040lbv&amp;dl=0" TargetMode="External"/><Relationship Id="rId105" Type="http://schemas.openxmlformats.org/officeDocument/2006/relationships/hyperlink" Target="https://www.dropbox.com/scl/fi/40jf1jeynz57qy7qmssrq/40273.pdf?rlkey=tp8f6wq9857qlky67z333gu8y&amp;dl=0" TargetMode="External"/><Relationship Id="rId126" Type="http://schemas.openxmlformats.org/officeDocument/2006/relationships/hyperlink" Target="https://www.dropbox.com/scl/fi/qe45nz60ookh5870d9juo/41076.pdf?rlkey=v199gojil316jwfgapsud1v2p&amp;dl=0" TargetMode="External"/><Relationship Id="rId147" Type="http://schemas.openxmlformats.org/officeDocument/2006/relationships/hyperlink" Target="https://www.dropbox.com/scl/fi/d0xgya04wnx6dag2ukkjx/41171.pdf?rlkey=hl0k330l2y1ttk11f2qsurgql&amp;dl=0" TargetMode="External"/><Relationship Id="rId168" Type="http://schemas.openxmlformats.org/officeDocument/2006/relationships/hyperlink" Target="https://www.dropbox.com/scl/fi/a9s8ozhezg9bnwwnw7lxg/41225.pdf?rlkey=em1swh69en14lbhqj7k70s81i&amp;dl=0" TargetMode="External"/><Relationship Id="rId8" Type="http://schemas.openxmlformats.org/officeDocument/2006/relationships/hyperlink" Target="https://www.dropbox.com/scl/fi/ywtdrryekjkb90zz2fzvp/41126.pdf?rlkey=881zobgdpp4iraerspinp5qbj&amp;dl=0" TargetMode="External"/><Relationship Id="rId51" Type="http://schemas.openxmlformats.org/officeDocument/2006/relationships/hyperlink" Target="https://www.dropbox.com/scl/fi/d4mn0mxo83hnvt41ateg2/41068.pdf?rlkey=6o60le6g5rsipdri9x6gp5cuj&amp;dl=0" TargetMode="External"/><Relationship Id="rId72" Type="http://schemas.openxmlformats.org/officeDocument/2006/relationships/hyperlink" Target="https://www.dropbox.com/scl/fi/hmd2qvdoqmv7mutwmgftt/41117.pdf?rlkey=j5kx8qaj4e4ftpmkz766eiavb&amp;dl=0" TargetMode="External"/><Relationship Id="rId93" Type="http://schemas.openxmlformats.org/officeDocument/2006/relationships/hyperlink" Target="https://www.dropbox.com/scl/fi/tpi65gvpsj8u4e9v1mzx7/41303.pdf?rlkey=5oikjk2ogvtnl92edvtovd8mc&amp;dl=0" TargetMode="External"/><Relationship Id="rId98" Type="http://schemas.openxmlformats.org/officeDocument/2006/relationships/hyperlink" Target="https://www.dropbox.com/scl/fi/a9tuk7k9fkqxqd9t4pc7v/40431.pdf?rlkey=brcyfgdqms74ncpf5knleyhnc&amp;dl=0" TargetMode="External"/><Relationship Id="rId121" Type="http://schemas.openxmlformats.org/officeDocument/2006/relationships/hyperlink" Target="https://www.dropbox.com/scl/fi/5tmtbg3q8a4d9asiq583o/41023.pdf?rlkey=zkx937g2jnwhevjux0o9h7wwi&amp;dl=0" TargetMode="External"/><Relationship Id="rId142" Type="http://schemas.openxmlformats.org/officeDocument/2006/relationships/hyperlink" Target="https://www.dropbox.com/scl/fi/o6d19nh780znnzvpdjqgq/41157.pdf?rlkey=lhyuv7ybnha0ss7pxsosafz9o&amp;dl=0" TargetMode="External"/><Relationship Id="rId163" Type="http://schemas.openxmlformats.org/officeDocument/2006/relationships/hyperlink" Target="https://www.dropbox.com/scl/fi/pnzk69helbrmekoe8oco4/41220.pdf?rlkey=61r4561t5zjcm1wytrdgbc8je&amp;dl=0" TargetMode="External"/><Relationship Id="rId184" Type="http://schemas.openxmlformats.org/officeDocument/2006/relationships/hyperlink" Target="https://www.dropbox.com/scl/fi/iiexki0zyn7fkcpz9ui4u/41302.pdf?rlkey=kanslmp0lhuxfvbvkyoap7q50&amp;dl=0" TargetMode="External"/><Relationship Id="rId189" Type="http://schemas.openxmlformats.org/officeDocument/2006/relationships/hyperlink" Target="https://www.dropbox.com/scl/fi/h76rxw5w1872my5xtuv6q/41339.pdf?rlkey=5gchnpj86mvov9bdsrwd9sbf7&amp;dl=0" TargetMode="External"/><Relationship Id="rId3" Type="http://schemas.openxmlformats.org/officeDocument/2006/relationships/hyperlink" Target="https://www.dropbox.com/scl/fi/c8ylaqb2yzy5nm6zxg35a/41185.pdf?rlkey=t8e25tmkf2ntv2mr1j4rr49ws&amp;dl=0" TargetMode="External"/><Relationship Id="rId25" Type="http://schemas.openxmlformats.org/officeDocument/2006/relationships/hyperlink" Target="https://www.dropbox.com/scl/fi/8975tlir8ex7xg16c7yxq/41245.pdf?rlkey=urcqkjr90coo1drx39gk9g7jl&amp;dl=0" TargetMode="External"/><Relationship Id="rId46" Type="http://schemas.openxmlformats.org/officeDocument/2006/relationships/hyperlink" Target="https://www.dropbox.com/scl/fi/85juh3p2ksuujzpx4ba6x/41088.pdf?rlkey=hqdcu3frykwlxq9jpiu8aoaq2&amp;dl=0" TargetMode="External"/><Relationship Id="rId67" Type="http://schemas.openxmlformats.org/officeDocument/2006/relationships/hyperlink" Target="https://www.dropbox.com/scl/fi/4l6lpja35t5l6bvctorma/41110.pdf?rlkey=apom3d5pptzhzj30b2tnavrnl&amp;dl=0" TargetMode="External"/><Relationship Id="rId116" Type="http://schemas.openxmlformats.org/officeDocument/2006/relationships/hyperlink" Target="https://www.dropbox.com/scl/fi/h3l7vhobiw9w3cf92wum6/40820.pdf?rlkey=z4caa0i3finc2t9wzgswedstw&amp;dl=0" TargetMode="External"/><Relationship Id="rId137" Type="http://schemas.openxmlformats.org/officeDocument/2006/relationships/hyperlink" Target="https://www.dropbox.com/scl/fi/skl95au1ug0ez3zhj3cw2/41139.pdf?rlkey=fccnyx5r913gfxwvf38ow8vsn&amp;dl=0" TargetMode="External"/><Relationship Id="rId158" Type="http://schemas.openxmlformats.org/officeDocument/2006/relationships/hyperlink" Target="https://www.dropbox.com/scl/fi/2fcvhkf8elxd6ex1fsse9/41202.pdf?rlkey=oasmb37o6191osbr959tm1khh&amp;dl=0" TargetMode="External"/><Relationship Id="rId20" Type="http://schemas.openxmlformats.org/officeDocument/2006/relationships/hyperlink" Target="https://www.dropbox.com/scl/fi/bymtycd04bji0ex8z4sdp/41308.pdf?rlkey=fjrko2wqzxr8q2fb3xmlns4xw&amp;dl=0" TargetMode="External"/><Relationship Id="rId41" Type="http://schemas.openxmlformats.org/officeDocument/2006/relationships/hyperlink" Target="https://www.dropbox.com/scl/fi/je652eczghfao7ol85efr/40998.pdf?rlkey=0ml29fy67dkw3lweu4jutc1fi&amp;dl=0" TargetMode="External"/><Relationship Id="rId62" Type="http://schemas.openxmlformats.org/officeDocument/2006/relationships/hyperlink" Target="https://www.dropbox.com/scl/fi/jlhiv2uuisdczixiy1ups/41131.pdf?rlkey=50rtd5cmyr3msl3stc25asy0k&amp;dl=0" TargetMode="External"/><Relationship Id="rId83" Type="http://schemas.openxmlformats.org/officeDocument/2006/relationships/hyperlink" Target="https://www.dropbox.com/scl/fi/794b0972ukjxqctvbj1vi/41326.pdf?rlkey=ng3zku3dxq62so1y0en8rrwtx&amp;dl=0" TargetMode="External"/><Relationship Id="rId88" Type="http://schemas.openxmlformats.org/officeDocument/2006/relationships/hyperlink" Target="https://www.dropbox.com/scl/fi/m33gdc3q6ubrqgxk4x6l5/41079.pdf?rlkey=xa8uofcmfz4frzks6zyb07dyt&amp;dl=0" TargetMode="External"/><Relationship Id="rId111" Type="http://schemas.openxmlformats.org/officeDocument/2006/relationships/hyperlink" Target="https://www.dropbox.com/scl/fi/qfrtubm82j2gpa4nb4hzq/40815.pdf?rlkey=8o5qha553v0cxc8p7ored3x9f&amp;dl=0" TargetMode="External"/><Relationship Id="rId132" Type="http://schemas.openxmlformats.org/officeDocument/2006/relationships/hyperlink" Target="https://www.dropbox.com/scl/fi/0uhpaf8h61tkffcwo4cu0/41089.pdf?rlkey=ul5zjgnmckic9axp923djkc3o&amp;dl=0" TargetMode="External"/><Relationship Id="rId153" Type="http://schemas.openxmlformats.org/officeDocument/2006/relationships/hyperlink" Target="https://www.dropbox.com/scl/fi/93nvn05nc59xa5yusygmm/41188.pdf?rlkey=l4fnotfaf0t0utzf9s2wbyoih&amp;dl=0" TargetMode="External"/><Relationship Id="rId174" Type="http://schemas.openxmlformats.org/officeDocument/2006/relationships/hyperlink" Target="https://www.dropbox.com/scl/fi/21bgidb51cl28hninz9nl/41290.pdf?rlkey=lsvo6oyfuf5mrsimkygddwsp7&amp;dl=0" TargetMode="External"/><Relationship Id="rId179" Type="http://schemas.openxmlformats.org/officeDocument/2006/relationships/hyperlink" Target="https://www.dropbox.com/scl/fi/jhgy36i3w9fsxfvghx55b/41297.pdf?rlkey=467qrqxhmlr6tzwhorq2n2up8&amp;dl=0" TargetMode="External"/><Relationship Id="rId195" Type="http://schemas.openxmlformats.org/officeDocument/2006/relationships/hyperlink" Target="../01%202025/Dog/39275.pdf" TargetMode="External"/><Relationship Id="rId190" Type="http://schemas.openxmlformats.org/officeDocument/2006/relationships/hyperlink" Target="https://www.dropbox.com/scl/fi/ojwcvrhn2t1dmjgmjsdvc/41342.pdf?rlkey=b7ix76kufej3p222lf88ppxau&amp;dl=0" TargetMode="External"/><Relationship Id="rId204" Type="http://schemas.openxmlformats.org/officeDocument/2006/relationships/hyperlink" Target="https://www.dropbox.com/scl/fi/ka3w5c1vkrkwhqt5f6j13/39421.pdf?rlkey=clvt7ftl6jk8h3p2n8xl7bk4p&amp;dl=0" TargetMode="External"/><Relationship Id="rId15" Type="http://schemas.openxmlformats.org/officeDocument/2006/relationships/hyperlink" Target="https://www.dropbox.com/scl/fi/cu5q54ik6ig888ra8qb1s/41346.pdf?rlkey=it6e26qhey8obrcwi2wnvzizm&amp;dl=0" TargetMode="External"/><Relationship Id="rId36" Type="http://schemas.openxmlformats.org/officeDocument/2006/relationships/hyperlink" Target="https://www.dropbox.com/scl/fi/bbxwow7i9zz2twn6g83wq/41066.pdf?rlkey=v7eih5r6m8bwoqm8hcg1gnbip&amp;dl=0" TargetMode="External"/><Relationship Id="rId57" Type="http://schemas.openxmlformats.org/officeDocument/2006/relationships/hyperlink" Target="https://www.dropbox.com/scl/fi/tqu753h5dwoh9fuipy4nj/41285.pdf?rlkey=d348pylbych4ui9falnr5v09z&amp;dl=0" TargetMode="External"/><Relationship Id="rId106" Type="http://schemas.openxmlformats.org/officeDocument/2006/relationships/hyperlink" Target="https://www.dropbox.com/scl/fi/j95ue82gwn0nr38uj5l7x/41361.pdf?rlkey=enpexdsm7rj2fi6ylz40ydnq9&amp;dl=0" TargetMode="External"/><Relationship Id="rId127" Type="http://schemas.openxmlformats.org/officeDocument/2006/relationships/hyperlink" Target="https://www.dropbox.com/scl/fi/6axwi4xfvwoq5cengfnnz/41080.pdf?rlkey=36yquyxpwrx03mbnwr8980qh9&amp;dl=0" TargetMode="External"/><Relationship Id="rId10" Type="http://schemas.openxmlformats.org/officeDocument/2006/relationships/hyperlink" Target="https://www.dropbox.com/scl/fi/jw984vkxhbwtqclj5zdye/40787.pdf?rlkey=dfemup6iwdr0bzkfc6wwi7bu2&amp;dl=0" TargetMode="External"/><Relationship Id="rId31" Type="http://schemas.openxmlformats.org/officeDocument/2006/relationships/hyperlink" Target="https://www.dropbox.com/scl/fi/9i5tl33djbl2s5v7tl98i/41142.pdf?rlkey=681sh7twg6p121aecuwj0u2sm&amp;dl=0" TargetMode="External"/><Relationship Id="rId52" Type="http://schemas.openxmlformats.org/officeDocument/2006/relationships/hyperlink" Target="https://www.dropbox.com/scl/fi/8ji1hv4ooacsy3k2t9zdh/41000.pdf?rlkey=hz7cpwbacnfxj3c1v8qc44qlk&amp;dl=0" TargetMode="External"/><Relationship Id="rId73" Type="http://schemas.openxmlformats.org/officeDocument/2006/relationships/hyperlink" Target="https://www.dropbox.com/scl/fi/r54td685vlsmwcsu5bvlm/41055.pdf?rlkey=pyla9kjbkwlrt6un8amk268vt&amp;dl=0" TargetMode="External"/><Relationship Id="rId78" Type="http://schemas.openxmlformats.org/officeDocument/2006/relationships/hyperlink" Target="https://www.dropbox.com/scl/fi/4rl7h46etnkwq2nalkmtw/41216.pdf?rlkey=z2rhx9tqlo3vwyojj3cittjtr&amp;dl=0" TargetMode="External"/><Relationship Id="rId94" Type="http://schemas.openxmlformats.org/officeDocument/2006/relationships/hyperlink" Target="https://www.dropbox.com/scl/fi/ltlg2sby7fcm9nf6g0td4/40992.pdf?rlkey=c2cijad7ss9ucndu5zb1z0dg4&amp;dl=0" TargetMode="External"/><Relationship Id="rId99" Type="http://schemas.openxmlformats.org/officeDocument/2006/relationships/hyperlink" Target="https://www.dropbox.com/scl/fi/50ilh5dd8ceffjwcg8ynh/41269.pdf?rlkey=m7grja3w3rjdujcnl0bwmcyzj&amp;dl=0" TargetMode="External"/><Relationship Id="rId101" Type="http://schemas.openxmlformats.org/officeDocument/2006/relationships/hyperlink" Target="https://www.dropbox.com/scl/fi/21cl6o9y3ehpulpoubw84/41130.pdf?rlkey=rrj3g84ohp5wg9uw69c392bal&amp;dl=0" TargetMode="External"/><Relationship Id="rId122" Type="http://schemas.openxmlformats.org/officeDocument/2006/relationships/hyperlink" Target="https://www.dropbox.com/scl/fi/x8uubh3c9ihyig1adqmfp/41024.pdf?rlkey=nju2oxvnmtp4t428yik3cruu7&amp;dl=0" TargetMode="External"/><Relationship Id="rId143" Type="http://schemas.openxmlformats.org/officeDocument/2006/relationships/hyperlink" Target="https://www.dropbox.com/scl/fi/lzwmld02thv5vqaf7w3bf/41159.pdf?rlkey=08mhpnmrs4oubqb7jv5ihwy19&amp;dl=0" TargetMode="External"/><Relationship Id="rId148" Type="http://schemas.openxmlformats.org/officeDocument/2006/relationships/hyperlink" Target="https://www.dropbox.com/scl/fi/ptx1j26azcz20p27xbjgd/41173.pdf?rlkey=vm0t6vy6nnsx0z3vy2es8bhwn&amp;dl=0" TargetMode="External"/><Relationship Id="rId164" Type="http://schemas.openxmlformats.org/officeDocument/2006/relationships/hyperlink" Target="https://www.dropbox.com/scl/fi/i55omco6ntpccvtjhy2ku/41221.pdf?rlkey=9fv3z3oidsv0ikq1oty9bi13l&amp;dl=0" TargetMode="External"/><Relationship Id="rId169" Type="http://schemas.openxmlformats.org/officeDocument/2006/relationships/hyperlink" Target="https://www.dropbox.com/scl/fi/f8pillqw9q37fgqx0e34p/41230.pdf?rlkey=6q3bq1pq0pke4ybshwa0exuct&amp;dl=0" TargetMode="External"/><Relationship Id="rId185" Type="http://schemas.openxmlformats.org/officeDocument/2006/relationships/hyperlink" Target="https://www.dropbox.com/scl/fi/it1w2o1xg3rhtwobrohrz/41306.pdf?rlkey=oj63vvwyh0nh96i2e6wkfwzke&amp;dl=0" TargetMode="External"/><Relationship Id="rId4" Type="http://schemas.openxmlformats.org/officeDocument/2006/relationships/hyperlink" Target="https://www.dropbox.com/scl/fi/zkwon2bmz6ul6zqexrus2/40939.pdf?rlkey=so18nt1fqnkg9hh0dmt5y15p0&amp;dl=0" TargetMode="External"/><Relationship Id="rId9" Type="http://schemas.openxmlformats.org/officeDocument/2006/relationships/hyperlink" Target="https://www.dropbox.com/scl/fi/cb53oz3pxbdq4qpmsor73/40941.pdf?rlkey=2cv7lur3not9nbuf7gpbzjdge&amp;dl=0" TargetMode="External"/><Relationship Id="rId180" Type="http://schemas.openxmlformats.org/officeDocument/2006/relationships/hyperlink" Target="https://www.dropbox.com/scl/fi/ea3zvprxoerzj6pqmdocs/41298.pdf?rlkey=ofzbg0h41tn7bsxqexkon1rt4&amp;dl=0" TargetMode="External"/><Relationship Id="rId26" Type="http://schemas.openxmlformats.org/officeDocument/2006/relationships/hyperlink" Target="https://www.dropbox.com/scl/fi/tnk9qoqwud0820xpxu9xa/41234.pdf?rlkey=c20ne4pg3tren3hbf5xuwlmtz&amp;dl=0" TargetMode="External"/><Relationship Id="rId47" Type="http://schemas.openxmlformats.org/officeDocument/2006/relationships/hyperlink" Target="https://www.dropbox.com/scl/fi/wl464mmcds6bnjesxdkhe/40761.pdf?rlkey=y2xh1n38843dd8paxwhrkjtwa&amp;dl=0" TargetMode="External"/><Relationship Id="rId68" Type="http://schemas.openxmlformats.org/officeDocument/2006/relationships/hyperlink" Target="https://www.dropbox.com/scl/fi/iz0rqqxxkse69m6z1xkyk/41235.pdf?rlkey=vnlxoh3mfgersfh8n25w6j4au&amp;dl=0" TargetMode="External"/><Relationship Id="rId89" Type="http://schemas.openxmlformats.org/officeDocument/2006/relationships/hyperlink" Target="https://www.dropbox.com/scl/fi/6vxs6xhmnfxf7vv1gv982/41246.pdf?rlkey=746bxroh1kdidiq5z0xmyvqmp&amp;dl=0" TargetMode="External"/><Relationship Id="rId112" Type="http://schemas.openxmlformats.org/officeDocument/2006/relationships/hyperlink" Target="https://www.dropbox.com/scl/fi/o7rnnbqq4o9espplgn5rf/40816.pdf?rlkey=d8odal55dpw2u1qcligu1xquv&amp;dl=0" TargetMode="External"/><Relationship Id="rId133" Type="http://schemas.openxmlformats.org/officeDocument/2006/relationships/hyperlink" Target="https://www.dropbox.com/scl/fi/87b0t1rx2smpgnoymz7lu/41093.pdf?rlkey=5t2ow8doxh9lnejxf3mtm19yc&amp;dl=0" TargetMode="External"/><Relationship Id="rId154" Type="http://schemas.openxmlformats.org/officeDocument/2006/relationships/hyperlink" Target="https://www.dropbox.com/scl/fi/p5j2d802drpxg3v64t39r/41189.pdf?rlkey=z4vpaq2nvfyp311osyqf699yc&amp;dl=0" TargetMode="External"/><Relationship Id="rId175" Type="http://schemas.openxmlformats.org/officeDocument/2006/relationships/hyperlink" Target="https://www.dropbox.com/scl/fi/txz868yzeo3llx50g3cxc/41292.pdf?rlkey=59po6wl1h6ngx6gpimqeoztix&amp;dl=0" TargetMode="External"/><Relationship Id="rId196" Type="http://schemas.openxmlformats.org/officeDocument/2006/relationships/hyperlink" Target="../01%202025/Dog/39336.pdf" TargetMode="External"/><Relationship Id="rId200" Type="http://schemas.openxmlformats.org/officeDocument/2006/relationships/hyperlink" Target="https://www.dropbox.com/scl/fi/54dkgdncroy0f2pasg8wu/39413.pdf?rlkey=st9f439defjmm7k6566dli0d2&amp;dl=0" TargetMode="External"/><Relationship Id="rId16" Type="http://schemas.openxmlformats.org/officeDocument/2006/relationships/hyperlink" Target="https://www.dropbox.com/scl/fi/xen0udz3u0jcvpjysv67o/41210.pdf?rlkey=7dih0ot5wg89k8m7bslq8kjqd&amp;dl=0" TargetMode="External"/><Relationship Id="rId37" Type="http://schemas.openxmlformats.org/officeDocument/2006/relationships/hyperlink" Target="https://www.dropbox.com/scl/fi/u6sa3faoo35wa9helsz42/41029.pdf?rlkey=mbmufzzafcxn0pwmmlp9f1kb1&amp;dl=0" TargetMode="External"/><Relationship Id="rId58" Type="http://schemas.openxmlformats.org/officeDocument/2006/relationships/hyperlink" Target="https://www.dropbox.com/scl/fi/fsfh664j5k7rxp768ri3b/41232.pdf?rlkey=3tbrkdhwmnxc95e50i16h46eu&amp;dl=0" TargetMode="External"/><Relationship Id="rId79" Type="http://schemas.openxmlformats.org/officeDocument/2006/relationships/hyperlink" Target="https://www.dropbox.com/scl/fi/whnn9zawoa71ksims8i2w/40811.pdf?rlkey=ye05vrhjt30qn84apyros7yvk&amp;dl=0" TargetMode="External"/><Relationship Id="rId102" Type="http://schemas.openxmlformats.org/officeDocument/2006/relationships/hyperlink" Target="https://www.dropbox.com/scl/fi/qv2isnqzdfppwfu0rolba/40449.pdf?rlkey=9hphz0dekzymh64z7ztu93swn&amp;dl=0" TargetMode="External"/><Relationship Id="rId123" Type="http://schemas.openxmlformats.org/officeDocument/2006/relationships/hyperlink" Target="https://www.dropbox.com/scl/fi/140d8rnjynlstb1u0dli1/41043.pdf?rlkey=x6hhdejnrb334o2eg2vmx18wn&amp;dl=0" TargetMode="External"/><Relationship Id="rId144" Type="http://schemas.openxmlformats.org/officeDocument/2006/relationships/hyperlink" Target="https://www.dropbox.com/scl/fi/am91omdpjx1o8m7twjg4p/41165.pdf?rlkey=19nrzwnixhf1p2hsubb6s7d1j&amp;dl=0" TargetMode="External"/><Relationship Id="rId90" Type="http://schemas.openxmlformats.org/officeDocument/2006/relationships/hyperlink" Target="https://www.dropbox.com/scl/fi/e1tj37e57b7jrz1tqvvhk/41309.pdf?rlkey=5bp00zufzizkakvaivlwc2arq&amp;dl=0" TargetMode="External"/><Relationship Id="rId165" Type="http://schemas.openxmlformats.org/officeDocument/2006/relationships/hyperlink" Target="https://www.dropbox.com/scl/fi/kgmxswrft8385bu2p8p3k/41222.pdf?rlkey=jfzsbw0rj6g4st3toqyvrs98d&amp;dl=0" TargetMode="External"/><Relationship Id="rId186" Type="http://schemas.openxmlformats.org/officeDocument/2006/relationships/hyperlink" Target="https://www.dropbox.com/scl/fi/h3qlwkemi7fd72papw3b3/41318.pdf?rlkey=m4i67r47k4guyyeb4fwpgkgyt&amp;dl=0" TargetMode="External"/><Relationship Id="rId27" Type="http://schemas.openxmlformats.org/officeDocument/2006/relationships/hyperlink" Target="https://www.dropbox.com/scl/fi/9hco6vl84gxlnli8wpk8v/41247.pdf?rlkey=k95igvit2tnkalawx4rbl3sac&amp;dl=0" TargetMode="External"/><Relationship Id="rId48" Type="http://schemas.openxmlformats.org/officeDocument/2006/relationships/hyperlink" Target="https://www.dropbox.com/scl/fi/duz22j8x0txyfey1l8dvv/41007.pdf?rlkey=1mx38n0tgjhgsmsrxkemf0jdy&amp;dl=0" TargetMode="External"/><Relationship Id="rId69" Type="http://schemas.openxmlformats.org/officeDocument/2006/relationships/hyperlink" Target="https://www.dropbox.com/scl/fi/wjlsjmlt6c0qk2n0isyj5/41201.pdf?rlkey=co16em26qqgpwckkzs8z1axjc&amp;dl=0" TargetMode="External"/><Relationship Id="rId113" Type="http://schemas.openxmlformats.org/officeDocument/2006/relationships/hyperlink" Target="https://www.dropbox.com/scl/fi/nuz7zx2onhq3sy9oy5dcs/40817.pdf?rlkey=0nzlyhmgpz2omtd6n5o98hvs8&amp;dl=0" TargetMode="External"/><Relationship Id="rId134" Type="http://schemas.openxmlformats.org/officeDocument/2006/relationships/hyperlink" Target="https://www.dropbox.com/scl/fi/hfsx7vof4w20cbzkv9ue5/41113.pdf?rlkey=hz8a9cgez6noru60lpzly71my&amp;dl=0" TargetMode="External"/><Relationship Id="rId80" Type="http://schemas.openxmlformats.org/officeDocument/2006/relationships/hyperlink" Target="https://www.dropbox.com/scl/fi/dlyz5yncim1ic8t74p44m/41320.pdf?rlkey=fs8muwzv9bbhyxfluqbfxvodc&amp;dl=0" TargetMode="External"/><Relationship Id="rId155" Type="http://schemas.openxmlformats.org/officeDocument/2006/relationships/hyperlink" Target="https://www.dropbox.com/scl/fi/xcsdgfzsg6h5l0fkszldy/41190.pdf?rlkey=mzz56yv0k7fy6q55kgqcit56d&amp;dl=0" TargetMode="External"/><Relationship Id="rId176" Type="http://schemas.openxmlformats.org/officeDocument/2006/relationships/hyperlink" Target="https://www.dropbox.com/scl/fi/p6xvflo9tshr8hm0goac0/41294.pdf?rlkey=48zy1l1u4sg1t6agslsbt46m9&amp;dl=0" TargetMode="External"/><Relationship Id="rId197" Type="http://schemas.openxmlformats.org/officeDocument/2006/relationships/hyperlink" Target="../01%202025/Dog/39409.pdf" TargetMode="External"/><Relationship Id="rId201" Type="http://schemas.openxmlformats.org/officeDocument/2006/relationships/hyperlink" Target="https://www.dropbox.com/scl/fi/i3k0oum1k5sr5um39ujhk/39414.pdf?rlkey=jsf339wn7hx7h2wvskimgrr0h&amp;dl=0" TargetMode="External"/><Relationship Id="rId17" Type="http://schemas.openxmlformats.org/officeDocument/2006/relationships/hyperlink" Target="https://www.dropbox.com/scl/fi/ncjfhsz6s51lwpwvd32tk/41291.pdf?rlkey=zbs7yfombau8s6mauypn8m3et&amp;dl=0" TargetMode="External"/><Relationship Id="rId38" Type="http://schemas.openxmlformats.org/officeDocument/2006/relationships/hyperlink" Target="https://www.dropbox.com/scl/fi/3kwhja24b13kmv8u4ns4y/41067.pdf?rlkey=cqw2sa793ipmx6gtz4hw6x1hp&amp;dl=0" TargetMode="External"/><Relationship Id="rId59" Type="http://schemas.openxmlformats.org/officeDocument/2006/relationships/hyperlink" Target="https://www.dropbox.com/scl/fi/cgu2d4g6wxf8fjsj8308o/41284.pdf?rlkey=qn38cyep5jln1ys0ovlb2xeck&amp;dl=0" TargetMode="External"/><Relationship Id="rId103" Type="http://schemas.openxmlformats.org/officeDocument/2006/relationships/hyperlink" Target="https://www.dropbox.com/scl/fi/mha7qbo50i0yn8xclelcl/41128.pdf?rlkey=d0nbnldttovam3atjrb7yw1uw&amp;dl=0" TargetMode="External"/><Relationship Id="rId124" Type="http://schemas.openxmlformats.org/officeDocument/2006/relationships/hyperlink" Target="https://www.dropbox.com/scl/fi/w16iqe70l6embw0z54hkj/41046.pdf?rlkey=ilr15ga0xe1726pg7s21rti4n&amp;dl=0" TargetMode="External"/><Relationship Id="rId70" Type="http://schemas.openxmlformats.org/officeDocument/2006/relationships/hyperlink" Target="https://www.dropbox.com/scl/fi/vnl31pmo17sd4actcem7f/41118.pdf?rlkey=u3h8urswtj6xg1b1mtufckkxi&amp;dl=0" TargetMode="External"/><Relationship Id="rId91" Type="http://schemas.openxmlformats.org/officeDocument/2006/relationships/hyperlink" Target="https://www.dropbox.com/scl/fi/dqsn3qr8v17nsmwvzmx11/41321.pdf?rlkey=h4y28m74zmzc1wlukqbdv8ay9&amp;dl=0" TargetMode="External"/><Relationship Id="rId145" Type="http://schemas.openxmlformats.org/officeDocument/2006/relationships/hyperlink" Target="https://www.dropbox.com/scl/fi/57vvzs8miqxsj144qimxa/41166.pdf?rlkey=m58yos45po41pq6wpvx3nxeic&amp;dl=0" TargetMode="External"/><Relationship Id="rId166" Type="http://schemas.openxmlformats.org/officeDocument/2006/relationships/hyperlink" Target="https://www.dropbox.com/scl/fi/qq8n0myg41axnttw3ohi0/41223.pdf?rlkey=rsf5c3ls739qcref8xwsman6w&amp;dl=0" TargetMode="External"/><Relationship Id="rId187" Type="http://schemas.openxmlformats.org/officeDocument/2006/relationships/hyperlink" Target="https://www.dropbox.com/scl/fi/4s8wn1fitiq6kxv0475ei/41334.pdf?rlkey=wubaabeabj3kbk3usfj93aqci&amp;dl=0" TargetMode="External"/><Relationship Id="rId1" Type="http://schemas.openxmlformats.org/officeDocument/2006/relationships/hyperlink" Target="https://www.dropbox.com/scl/fi/u99dasvbe04beh0k2z0jj/41143.pdf?rlkey=n7yc71feuf75wjwa1vkc7gbi6&amp;dl=0" TargetMode="External"/><Relationship Id="rId28" Type="http://schemas.openxmlformats.org/officeDocument/2006/relationships/hyperlink" Target="https://www.dropbox.com/scl/fi/kqc7y1dziu2jhhbk033ud/41215.pdf?rlkey=1d1v5fwxjw3ee2g8vhx1aclpn&amp;dl=0" TargetMode="External"/><Relationship Id="rId49" Type="http://schemas.openxmlformats.org/officeDocument/2006/relationships/hyperlink" Target="https://www.dropbox.com/scl/fi/ub8w759ai4vhf9uk470n3/41045.pdf?rlkey=wbix0en9ocjv0vipm6asqexfb&amp;dl=0" TargetMode="External"/><Relationship Id="rId114" Type="http://schemas.openxmlformats.org/officeDocument/2006/relationships/hyperlink" Target="https://www.dropbox.com/scl/fi/5sypwc4vyboc2ru9o8ahw/40818.pdf?rlkey=5pp9fxvdcza3ql727qaggwgev&amp;dl=0" TargetMode="External"/><Relationship Id="rId60" Type="http://schemas.openxmlformats.org/officeDocument/2006/relationships/hyperlink" Target="https://www.dropbox.com/scl/fi/97r39yzt487vxqwdd7bmm/41288.pdf?rlkey=lmdithpr4ss9xa2hueycpge0c&amp;dl=0" TargetMode="External"/><Relationship Id="rId81" Type="http://schemas.openxmlformats.org/officeDocument/2006/relationships/hyperlink" Target="https://www.dropbox.com/scl/fi/91l9jfelq6aknsokw1dcm/41273.pdf?rlkey=tcglanxsehraiquv80pbzt25l&amp;dl=0" TargetMode="External"/><Relationship Id="rId135" Type="http://schemas.openxmlformats.org/officeDocument/2006/relationships/hyperlink" Target="https://www.dropbox.com/scl/fi/iv0707wxscy11fxmw6y72/41123.pdf?rlkey=cxct8hbf9bsuggp1zfzp7x9dr&amp;dl=0" TargetMode="External"/><Relationship Id="rId156" Type="http://schemas.openxmlformats.org/officeDocument/2006/relationships/hyperlink" Target="https://www.dropbox.com/scl/fi/5ykphkicoyisd6n3271cx/41191.pdf?rlkey=23intokgxqf87pjgz8wzg7rab&amp;dl=0" TargetMode="External"/><Relationship Id="rId177" Type="http://schemas.openxmlformats.org/officeDocument/2006/relationships/hyperlink" Target="https://www.dropbox.com/scl/fi/lxquqrdy8m6d78dg9p2dw/41295.pdf?rlkey=9chete6n63oir8pmje8hng7v9&amp;dl=0" TargetMode="External"/><Relationship Id="rId198" Type="http://schemas.openxmlformats.org/officeDocument/2006/relationships/hyperlink" Target="../01%202025/Dog/39411.pdf" TargetMode="External"/><Relationship Id="rId202" Type="http://schemas.openxmlformats.org/officeDocument/2006/relationships/hyperlink" Target="https://www.dropbox.com/scl/fi/6b3hgqas0u1wftlh89vfg/39415.pdf?rlkey=uxcuav87og9ctd2vcdhyisiva&amp;dl=0" TargetMode="External"/><Relationship Id="rId18" Type="http://schemas.openxmlformats.org/officeDocument/2006/relationships/hyperlink" Target="https://www.dropbox.com/scl/fi/ohfnxnxphsxr1ia1g36z7/41335.pdf?rlkey=grmi7voul9ui2i1rob09qcuq3&amp;dl=0" TargetMode="External"/><Relationship Id="rId39" Type="http://schemas.openxmlformats.org/officeDocument/2006/relationships/hyperlink" Target="https://www.dropbox.com/scl/fi/hrgmybkks7kcytd7rvp12/40999.pdf?rlkey=0q8nll211nemgcmicolfe9cl2&amp;dl=0" TargetMode="External"/><Relationship Id="rId50" Type="http://schemas.openxmlformats.org/officeDocument/2006/relationships/hyperlink" Target="https://www.dropbox.com/scl/fi/zh9zg51zerd3x09czkfwe/41064.pdf?rlkey=bjfb46xl8qbm8g7lfknydbom1&amp;dl=0" TargetMode="External"/><Relationship Id="rId104" Type="http://schemas.openxmlformats.org/officeDocument/2006/relationships/hyperlink" Target="https://www.dropbox.com/scl/fi/041figxbvjbclnsre97kg/41145.pdf?rlkey=ly3aked12g3oregy683fu38a4&amp;dl=0" TargetMode="External"/><Relationship Id="rId125" Type="http://schemas.openxmlformats.org/officeDocument/2006/relationships/hyperlink" Target="https://www.dropbox.com/scl/fi/o2bdejeozcom2xrpzrzfv/41052.pdf?rlkey=okmg3x0vbwqhzsqj8s9u6mgpq&amp;dl=0" TargetMode="External"/><Relationship Id="rId146" Type="http://schemas.openxmlformats.org/officeDocument/2006/relationships/hyperlink" Target="https://www.dropbox.com/scl/fi/z4ef5e645rvnfwtihtekr/41170.pdf?rlkey=4rdfdk0v63cmobhpfat191tkc&amp;dl=0" TargetMode="External"/><Relationship Id="rId167" Type="http://schemas.openxmlformats.org/officeDocument/2006/relationships/hyperlink" Target="https://www.dropbox.com/scl/fi/mwd0c4uphuneqj6kjjy5v/41224.pdf?rlkey=gf93az8e3esv4g222iwmsei35&amp;dl=0" TargetMode="External"/><Relationship Id="rId188" Type="http://schemas.openxmlformats.org/officeDocument/2006/relationships/hyperlink" Target="https://www.dropbox.com/scl/fi/qn440n6w808w9w74b1086/41338.pdf?rlkey=7230ncbou2w3b3v98f56x97zl&amp;dl=0" TargetMode="External"/><Relationship Id="rId71" Type="http://schemas.openxmlformats.org/officeDocument/2006/relationships/hyperlink" Target="https://www.dropbox.com/scl/fi/793w32kbmajt9knz4ueae/40354.pdf?rlkey=qnu5nncft8bvtus5rqlktxrxc&amp;dl=0" TargetMode="External"/><Relationship Id="rId92" Type="http://schemas.openxmlformats.org/officeDocument/2006/relationships/hyperlink" Target="https://www.dropbox.com/scl/fi/ylidr89xnbcgwi5lio820/41386.pdf?rlkey=6yexez12rcqsz9bvm5nb47bpz&amp;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10918-5822-5241-A3D7-AFE4764D839E}">
  <dimension ref="A1:T196"/>
  <sheetViews>
    <sheetView workbookViewId="0">
      <pane ySplit="1" topLeftCell="A2" activePane="bottomLeft" state="frozen"/>
      <selection pane="bottomLeft" sqref="A1:XFD1048576"/>
    </sheetView>
  </sheetViews>
  <sheetFormatPr defaultColWidth="11" defaultRowHeight="15.75" x14ac:dyDescent="0.25"/>
  <cols>
    <col min="1" max="1" width="9.125" style="1" customWidth="1"/>
    <col min="2" max="2" width="21" style="2" customWidth="1"/>
    <col min="3" max="3" width="19.625" customWidth="1"/>
    <col min="4" max="4" width="24.625" customWidth="1"/>
    <col min="5" max="5" width="13.5" style="2" customWidth="1"/>
    <col min="6" max="6" width="12.5" style="2" customWidth="1"/>
    <col min="7" max="7" width="14.125" style="2" customWidth="1"/>
    <col min="8" max="8" width="13.5" style="6" customWidth="1"/>
    <col min="9" max="9" width="16.875" style="6" customWidth="1"/>
    <col min="10" max="10" width="19.125" customWidth="1"/>
    <col min="11" max="11" width="15.5" customWidth="1"/>
    <col min="12" max="12" width="16.625" customWidth="1"/>
    <col min="14" max="14" width="3.625" customWidth="1"/>
    <col min="15" max="15" width="19.125" customWidth="1"/>
    <col min="18" max="18" width="3.875" customWidth="1"/>
  </cols>
  <sheetData>
    <row r="1" spans="1:20" x14ac:dyDescent="0.25">
      <c r="A1" s="32" t="s">
        <v>6</v>
      </c>
      <c r="B1" s="34" t="s">
        <v>43</v>
      </c>
      <c r="C1" s="32" t="s">
        <v>1</v>
      </c>
      <c r="D1" s="8"/>
      <c r="E1" s="34" t="s">
        <v>2</v>
      </c>
      <c r="F1" s="34" t="s">
        <v>177</v>
      </c>
      <c r="G1" s="34" t="s">
        <v>3</v>
      </c>
      <c r="H1" s="31" t="s">
        <v>179</v>
      </c>
      <c r="I1" s="31"/>
      <c r="J1" s="32" t="s">
        <v>4</v>
      </c>
      <c r="K1" s="32" t="s">
        <v>12</v>
      </c>
      <c r="L1" s="33" t="s">
        <v>5</v>
      </c>
    </row>
    <row r="2" spans="1:20" x14ac:dyDescent="0.25">
      <c r="A2" s="32"/>
      <c r="B2" s="34"/>
      <c r="C2" s="32"/>
      <c r="D2" s="8"/>
      <c r="E2" s="34"/>
      <c r="F2" s="34"/>
      <c r="G2" s="34"/>
      <c r="H2" s="7" t="s">
        <v>202</v>
      </c>
      <c r="I2" s="7" t="s">
        <v>203</v>
      </c>
      <c r="J2" s="32"/>
      <c r="K2" s="32"/>
      <c r="L2" s="33"/>
    </row>
    <row r="3" spans="1:20" x14ac:dyDescent="0.25">
      <c r="A3" s="3"/>
      <c r="F3" s="2" t="e" cm="1">
        <f t="array" ref="F3">_xlfn.IFS(B3="Owner Surrender",E3,B3="Stray",E3+6,B3="Stray w/identification",E3+11,B3="Bite",E3+10,B3="Other",E3+30,B3="BAS",E3+56,B3="Seized",E3)</f>
        <v>#N/A</v>
      </c>
      <c r="H3" s="6">
        <f t="shared" ref="H3:H58" si="0">+G3-E3</f>
        <v>0</v>
      </c>
      <c r="I3" s="6" t="e">
        <f>G3-F3</f>
        <v>#N/A</v>
      </c>
      <c r="J3" s="2"/>
      <c r="K3" s="2"/>
      <c r="L3" s="2"/>
    </row>
    <row r="4" spans="1:20" x14ac:dyDescent="0.25">
      <c r="A4" s="3"/>
      <c r="F4" s="2" t="e" cm="1">
        <f t="array" ref="F4">_xlfn.IFS(B4="Owner Surrender",E4,B4="Stray",E4+6,B4="Stray w/identification",E4+11,B4="Bite",E4+10,B4="Other",E4+30,B4="BAS",E4+56,B4="Seized",E4)</f>
        <v>#N/A</v>
      </c>
      <c r="H4" s="6">
        <f t="shared" si="0"/>
        <v>0</v>
      </c>
      <c r="I4" s="6" t="e">
        <f t="shared" ref="I4:I67" si="1">G4-F4</f>
        <v>#N/A</v>
      </c>
      <c r="J4" s="2"/>
      <c r="N4" s="9" t="s">
        <v>11</v>
      </c>
      <c r="O4" s="9"/>
      <c r="P4" s="9"/>
      <c r="R4" s="9" t="s">
        <v>11</v>
      </c>
      <c r="S4" s="9"/>
      <c r="T4" s="9"/>
    </row>
    <row r="5" spans="1:20" x14ac:dyDescent="0.25">
      <c r="A5" s="3"/>
      <c r="F5" s="2" t="e" cm="1">
        <f t="array" ref="F5">_xlfn.IFS(B5="Owner Surrender",E5,B5="Stray",E5+6,B5="Stray w/identification",E5+11,B5="Bite",E5+10,B5="Other",E5+30,B5="BAS",E5+56,B5="Seized",E5)</f>
        <v>#N/A</v>
      </c>
      <c r="H5" s="6">
        <f t="shared" si="0"/>
        <v>0</v>
      </c>
      <c r="I5" s="6" t="e">
        <f t="shared" si="1"/>
        <v>#N/A</v>
      </c>
      <c r="J5" s="2"/>
      <c r="O5" s="5" t="s">
        <v>36</v>
      </c>
      <c r="P5" s="5">
        <f>COUNTIFS($J$3:$J$300,"Adopted",$B$3:$B$300,"Owner Surrender")</f>
        <v>0</v>
      </c>
      <c r="S5" s="5" t="s">
        <v>209</v>
      </c>
      <c r="T5" s="5">
        <f>COUNTIFS($J$3:$J$300,"Adopted",$D$3:$D$300,"0-6 months")</f>
        <v>0</v>
      </c>
    </row>
    <row r="6" spans="1:20" x14ac:dyDescent="0.25">
      <c r="A6" s="3"/>
      <c r="F6" s="2" t="e" cm="1">
        <f t="array" ref="F6">_xlfn.IFS(B6="Owner Surrender",E6,B6="Stray",E6+6,B6="Stray w/identification",E6+11,B6="Bite",E6+10,B6="Other",E6+30,B6="BAS",E6+56,B6="Seized",E6)</f>
        <v>#N/A</v>
      </c>
      <c r="H6" s="6">
        <f t="shared" si="0"/>
        <v>0</v>
      </c>
      <c r="I6" s="6" t="e">
        <f t="shared" si="1"/>
        <v>#N/A</v>
      </c>
      <c r="J6" s="2"/>
      <c r="O6" s="5" t="s">
        <v>38</v>
      </c>
      <c r="P6" s="5">
        <f>COUNTIFS($J$3:$J$301,"Adopted",$B$3:$B$301,"Stray")</f>
        <v>0</v>
      </c>
      <c r="S6" s="5" t="s">
        <v>210</v>
      </c>
      <c r="T6" s="5">
        <f>COUNTIFS($J$3:$J$300,"Adopted",$D$3:$D$300,"6-12 months")</f>
        <v>0</v>
      </c>
    </row>
    <row r="7" spans="1:20" x14ac:dyDescent="0.25">
      <c r="A7" s="3"/>
      <c r="F7" s="2" t="e" cm="1">
        <f t="array" ref="F7">_xlfn.IFS(B7="Owner Surrender",E7,B7="Stray",E7+6,B7="Stray w/identification",E7+11,B7="Bite",E7+10,B7="Other",E7+30,B7="BAS",E7+56,B7="Seized",E7)</f>
        <v>#N/A</v>
      </c>
      <c r="H7" s="6">
        <f t="shared" si="0"/>
        <v>0</v>
      </c>
      <c r="I7" s="6" t="e">
        <f t="shared" si="1"/>
        <v>#N/A</v>
      </c>
      <c r="J7" s="2"/>
      <c r="O7" s="5" t="s">
        <v>204</v>
      </c>
      <c r="P7" s="5">
        <f>COUNTIFS($J$3:$J$302,"Adopted",$B$3:$B$302,"Stray w/identification")</f>
        <v>0</v>
      </c>
      <c r="S7" s="5" t="s">
        <v>208</v>
      </c>
      <c r="T7" s="5">
        <f>COUNTIFS($J$3:$J$300,"Adopted",$D$3:$D$300,"Adult")</f>
        <v>0</v>
      </c>
    </row>
    <row r="8" spans="1:20" x14ac:dyDescent="0.25">
      <c r="A8" s="3"/>
      <c r="F8" s="2" t="e" cm="1">
        <f t="array" ref="F8">_xlfn.IFS(B8="Owner Surrender",E8,B8="Stray",E8+6,B8="Stray w/identification",E8+11,B8="Bite",E8+10,B8="Other",E8+30,B8="BAS",E8+56,B8="Seized",E8)</f>
        <v>#N/A</v>
      </c>
      <c r="H8" s="6">
        <f t="shared" si="0"/>
        <v>0</v>
      </c>
      <c r="I8" s="6" t="e">
        <f t="shared" si="1"/>
        <v>#N/A</v>
      </c>
      <c r="J8" s="2"/>
      <c r="O8" s="5" t="s">
        <v>53</v>
      </c>
      <c r="P8" s="5">
        <f>COUNTIFS($J$3:$J$302,"Adopted",$B$3:$B$302,"Seized")</f>
        <v>0</v>
      </c>
      <c r="S8" s="5" t="s">
        <v>211</v>
      </c>
      <c r="T8" s="5">
        <f>COUNTIFS($J$3:$J$300,"Adopted",$D$3:$D$300,"Senior")</f>
        <v>0</v>
      </c>
    </row>
    <row r="9" spans="1:20" x14ac:dyDescent="0.25">
      <c r="A9" s="3"/>
      <c r="F9" s="2" t="e" cm="1">
        <f t="array" ref="F9">_xlfn.IFS(B9="Owner Surrender",E9,B9="Stray",E9+6,B9="Stray w/identification",E9+11,B9="Bite",E9+10,B9="Other",E9+30,B9="BAS",E9+56,B9="Seized",E9)</f>
        <v>#N/A</v>
      </c>
      <c r="H9" s="6">
        <f t="shared" si="0"/>
        <v>0</v>
      </c>
      <c r="I9" s="6" t="e">
        <f t="shared" si="1"/>
        <v>#N/A</v>
      </c>
      <c r="J9" s="2"/>
      <c r="O9" s="5" t="s">
        <v>61</v>
      </c>
      <c r="P9" s="5">
        <f>COUNTIFS($J$3:$J$302,"Adopted",$B$3:$B$302,"Other")</f>
        <v>0</v>
      </c>
      <c r="R9" s="9" t="s">
        <v>18</v>
      </c>
      <c r="S9" s="9"/>
      <c r="T9" s="9"/>
    </row>
    <row r="10" spans="1:20" x14ac:dyDescent="0.25">
      <c r="A10" s="3"/>
      <c r="F10" s="2" t="e" cm="1">
        <f t="array" ref="F10">_xlfn.IFS(B10="Owner Surrender",E10,B10="Stray",E10+6,B10="Stray w/identification",E10+11,B10="Bite",E10+10,B10="Other",E10+30,B10="BAS",E10+56,B10="Seized",E10)</f>
        <v>#N/A</v>
      </c>
      <c r="H10" s="6">
        <f t="shared" si="0"/>
        <v>0</v>
      </c>
      <c r="I10" s="6" t="e">
        <f t="shared" si="1"/>
        <v>#N/A</v>
      </c>
      <c r="J10" s="2"/>
      <c r="O10" s="5" t="s">
        <v>205</v>
      </c>
      <c r="P10" s="5">
        <f>COUNTIFS($J$3:$J$302,"Adopted",$B$3:$B$302,"BAS")</f>
        <v>0</v>
      </c>
      <c r="S10" s="5" t="s">
        <v>209</v>
      </c>
      <c r="T10" s="5">
        <f>COUNTIFS($J$3:$J$300,"Transferred",$D$3:$D$300,"0-6 months")</f>
        <v>0</v>
      </c>
    </row>
    <row r="11" spans="1:20" x14ac:dyDescent="0.25">
      <c r="A11" s="3"/>
      <c r="F11" s="2" t="e" cm="1">
        <f t="array" ref="F11">_xlfn.IFS(B11="Owner Surrender",E11,B11="Stray",E11+6,B11="Stray w/identification",E11+11,B11="Bite",E11+10,B11="Other",E11+30,B11="BAS",E11+56,B11="Seized",E11)</f>
        <v>#N/A</v>
      </c>
      <c r="H11" s="6">
        <f t="shared" si="0"/>
        <v>0</v>
      </c>
      <c r="I11" s="6" t="e">
        <f t="shared" si="1"/>
        <v>#N/A</v>
      </c>
      <c r="J11" s="2"/>
      <c r="O11" s="5" t="s">
        <v>42</v>
      </c>
      <c r="P11" s="5">
        <f>COUNTIFS($J$3:$J$302,"Adopted",$B$3:$B$302,"Bite")</f>
        <v>0</v>
      </c>
      <c r="S11" s="5" t="s">
        <v>210</v>
      </c>
      <c r="T11" s="5">
        <f>COUNTIFS($J$3:$J$300,"Transferred",$D$3:$D$300,"6-12 months")</f>
        <v>0</v>
      </c>
    </row>
    <row r="12" spans="1:20" x14ac:dyDescent="0.25">
      <c r="A12" s="3"/>
      <c r="F12" s="2" t="e" cm="1">
        <f t="array" ref="F12">_xlfn.IFS(B12="Owner Surrender",E12,B12="Stray",E12+6,B12="Stray w/identification",E12+11,B12="Bite",E12+10,B12="Other",E12+30,B12="BAS",E12+56,B12="Seized",E12)</f>
        <v>#N/A</v>
      </c>
      <c r="H12" s="6">
        <f t="shared" si="0"/>
        <v>0</v>
      </c>
      <c r="I12" s="6" t="e">
        <f t="shared" si="1"/>
        <v>#N/A</v>
      </c>
      <c r="J12" s="2"/>
      <c r="K12" s="2"/>
      <c r="L12" s="2"/>
      <c r="N12" s="9" t="s">
        <v>18</v>
      </c>
      <c r="O12" s="9"/>
      <c r="P12" s="9"/>
      <c r="S12" s="5" t="s">
        <v>208</v>
      </c>
      <c r="T12" s="5">
        <f>COUNTIFS($J$3:$J$300,"Transferred",$D$3:$D$300,"Adult")</f>
        <v>0</v>
      </c>
    </row>
    <row r="13" spans="1:20" x14ac:dyDescent="0.25">
      <c r="A13" s="3"/>
      <c r="F13" s="2" t="e" cm="1">
        <f t="array" ref="F13">_xlfn.IFS(B13="Owner Surrender",E13,B13="Stray",E13+6,B13="Stray w/identification",E13+11,B13="Bite",E13+10,B13="Other",E13+30,B13="BAS",E13+56,B13="Seized",E13)</f>
        <v>#N/A</v>
      </c>
      <c r="H13" s="6">
        <f t="shared" si="0"/>
        <v>0</v>
      </c>
      <c r="I13" s="6" t="e">
        <f t="shared" si="1"/>
        <v>#N/A</v>
      </c>
      <c r="J13" s="2"/>
      <c r="K13" s="2"/>
      <c r="O13" s="5" t="s">
        <v>36</v>
      </c>
      <c r="P13" s="5">
        <f>COUNTIFS($J$3:$J$304,"Transferred",$B$3:$B$304,"Owner Surrender")</f>
        <v>0</v>
      </c>
      <c r="S13" s="5" t="s">
        <v>211</v>
      </c>
      <c r="T13" s="5">
        <f>COUNTIFS($J$3:$J$300,"Transferred",$D$3:$D$300,"Senior")</f>
        <v>0</v>
      </c>
    </row>
    <row r="14" spans="1:20" x14ac:dyDescent="0.25">
      <c r="A14" s="3"/>
      <c r="F14" s="2" t="e" cm="1">
        <f t="array" ref="F14">_xlfn.IFS(B14="Owner Surrender",E14,B14="Stray",E14+6,B14="Stray w/identification",E14+11,B14="Bite",E14+10,B14="Other",E14+30,B14="BAS",E14+56,B14="Seized",E14)</f>
        <v>#N/A</v>
      </c>
      <c r="H14" s="6">
        <f t="shared" si="0"/>
        <v>0</v>
      </c>
      <c r="I14" s="6" t="e">
        <f t="shared" si="1"/>
        <v>#N/A</v>
      </c>
      <c r="J14" s="2"/>
      <c r="O14" s="5" t="s">
        <v>38</v>
      </c>
      <c r="P14" s="5">
        <f>COUNTIFS(J3:J305,"Transferred",$B$3:$B$305,"Stray")</f>
        <v>0</v>
      </c>
      <c r="R14" s="9" t="s">
        <v>31</v>
      </c>
      <c r="S14" s="9"/>
      <c r="T14" s="9"/>
    </row>
    <row r="15" spans="1:20" x14ac:dyDescent="0.25">
      <c r="A15" s="3"/>
      <c r="F15" s="2" t="e" cm="1">
        <f t="array" ref="F15">_xlfn.IFS(B15="Owner Surrender",E15,B15="Stray",E15+6,B15="Stray w/identification",E15+11,B15="Bite",E15+10,B15="Other",E15+30,B15="BAS",E15+56,B15="Seized",E15)</f>
        <v>#N/A</v>
      </c>
      <c r="H15" s="6">
        <f t="shared" si="0"/>
        <v>0</v>
      </c>
      <c r="I15" s="6" t="e">
        <f t="shared" si="1"/>
        <v>#N/A</v>
      </c>
      <c r="J15" s="2"/>
      <c r="O15" s="5" t="s">
        <v>204</v>
      </c>
      <c r="P15" s="5">
        <f>COUNTIFS($J$3:$J$308,"Transferred",$B$3:$B$308,"Stray w/identification")</f>
        <v>0</v>
      </c>
      <c r="S15" s="5" t="s">
        <v>209</v>
      </c>
      <c r="T15" s="5">
        <f>COUNTIFS($J$3:$J$300,"Euthanized",$D$3:$D$300,"0-6 months")</f>
        <v>0</v>
      </c>
    </row>
    <row r="16" spans="1:20" x14ac:dyDescent="0.25">
      <c r="A16" s="3"/>
      <c r="F16" s="2" t="e" cm="1">
        <f t="array" ref="F16">_xlfn.IFS(B16="Owner Surrender",E16,B16="Stray",E16+6,B16="Stray w/identification",E16+11,B16="Bite",E16+10,B16="Other",E16+30,B16="BAS",E16+56,B16="Seized",E16)</f>
        <v>#N/A</v>
      </c>
      <c r="H16" s="6">
        <f t="shared" si="0"/>
        <v>0</v>
      </c>
      <c r="I16" s="6" t="e">
        <f t="shared" si="1"/>
        <v>#N/A</v>
      </c>
      <c r="J16" s="2"/>
      <c r="O16" s="5" t="s">
        <v>53</v>
      </c>
      <c r="P16" s="5">
        <f>COUNTIFS($J$3:$J$306,"Transferred",$B$3:$B$306,"Seized")</f>
        <v>0</v>
      </c>
      <c r="S16" s="5" t="s">
        <v>210</v>
      </c>
      <c r="T16" s="5">
        <f>COUNTIFS($J$3:$J$300,"Euthanized",$D$3:$D$300,"6-12 months")</f>
        <v>0</v>
      </c>
    </row>
    <row r="17" spans="1:20" x14ac:dyDescent="0.25">
      <c r="A17" s="3"/>
      <c r="F17" s="2" t="e" cm="1">
        <f t="array" ref="F17">_xlfn.IFS(B17="Owner Surrender",E17,B17="Stray",E17+6,B17="Stray w/identification",E17+11,B17="Bite",E17+10,B17="Other",E17+30,B17="BAS",E17+56,B17="Seized",E17)</f>
        <v>#N/A</v>
      </c>
      <c r="H17" s="6">
        <f t="shared" si="0"/>
        <v>0</v>
      </c>
      <c r="I17" s="6" t="e">
        <f t="shared" si="1"/>
        <v>#N/A</v>
      </c>
      <c r="J17" s="2"/>
      <c r="O17" s="5" t="s">
        <v>61</v>
      </c>
      <c r="P17" s="5">
        <f>COUNTIFS($J$3:$J$306,"Transferred",$B$3:$B$306,"Other")</f>
        <v>0</v>
      </c>
      <c r="S17" s="5" t="s">
        <v>208</v>
      </c>
      <c r="T17" s="5">
        <f>COUNTIFS($J$3:$J$300,"Euthanized",$D$3:$D$300,"Adult")</f>
        <v>0</v>
      </c>
    </row>
    <row r="18" spans="1:20" x14ac:dyDescent="0.25">
      <c r="A18" s="3"/>
      <c r="F18" s="2" t="e" cm="1">
        <f t="array" ref="F18">_xlfn.IFS(B18="Owner Surrender",E18,B18="Stray",E18+6,B18="Stray w/identification",E18+11,B18="Bite",E18+10,B18="Other",E18+30,B18="BAS",E18+56,B18="Seized",E18)</f>
        <v>#N/A</v>
      </c>
      <c r="H18" s="6">
        <f t="shared" si="0"/>
        <v>0</v>
      </c>
      <c r="I18" s="6" t="e">
        <f t="shared" si="1"/>
        <v>#N/A</v>
      </c>
      <c r="J18" s="2"/>
      <c r="O18" s="5" t="s">
        <v>205</v>
      </c>
      <c r="P18" s="5">
        <f>COUNTIFS($J$3:$J$306,"Transferred",$B$3:$B$306,"BAS")</f>
        <v>0</v>
      </c>
      <c r="S18" s="5" t="s">
        <v>211</v>
      </c>
      <c r="T18" s="5">
        <f>COUNTIFS($J$3:$J$300,"Euthanized",$D$3:$D$300,"Senior")</f>
        <v>0</v>
      </c>
    </row>
    <row r="19" spans="1:20" x14ac:dyDescent="0.25">
      <c r="A19" s="3"/>
      <c r="F19" s="2" t="e" cm="1">
        <f t="array" ref="F19">_xlfn.IFS(B19="Owner Surrender",E19,B19="Stray",E19+6,B19="Stray w/identification",E19+11,B19="Bite",E19+10,B19="Other",E19+30,B19="BAS",E19+56,B19="Seized",E19)</f>
        <v>#N/A</v>
      </c>
      <c r="H19" s="6">
        <f t="shared" si="0"/>
        <v>0</v>
      </c>
      <c r="I19" s="6" t="e">
        <f t="shared" si="1"/>
        <v>#N/A</v>
      </c>
      <c r="J19" s="2"/>
      <c r="O19" s="5" t="s">
        <v>42</v>
      </c>
      <c r="P19" s="5">
        <f>COUNTIFS($J$3:$J$306,"Transferred",$B$3:$B$306,"Bite")</f>
        <v>0</v>
      </c>
      <c r="R19" s="9" t="s">
        <v>28</v>
      </c>
      <c r="S19" s="9"/>
      <c r="T19" s="9"/>
    </row>
    <row r="20" spans="1:20" x14ac:dyDescent="0.25">
      <c r="A20" s="3"/>
      <c r="F20" s="2" t="e" cm="1">
        <f t="array" ref="F20">_xlfn.IFS(B20="Owner Surrender",E20,B20="Stray",E20+6,B20="Stray w/identification",E20+11,B20="Bite",E20+10,B20="Other",E20+30,B20="BAS",E20+56,B20="Seized",E20)</f>
        <v>#N/A</v>
      </c>
      <c r="H20" s="6">
        <f t="shared" si="0"/>
        <v>0</v>
      </c>
      <c r="I20" s="6" t="e">
        <f t="shared" si="1"/>
        <v>#N/A</v>
      </c>
      <c r="J20" s="2"/>
      <c r="N20" s="9" t="s">
        <v>31</v>
      </c>
      <c r="O20" s="9"/>
      <c r="P20" s="9"/>
      <c r="S20" s="5" t="s">
        <v>209</v>
      </c>
      <c r="T20" s="5">
        <f>COUNTIFS($J$3:$J$300,"DOA",$D$3:$D$300,"0-6 months")</f>
        <v>0</v>
      </c>
    </row>
    <row r="21" spans="1:20" x14ac:dyDescent="0.25">
      <c r="A21" s="3"/>
      <c r="F21" s="2" t="e" cm="1">
        <f t="array" ref="F21">_xlfn.IFS(B21="Owner Surrender",E21,B21="Stray",E21+6,B21="Stray w/identification",E21+11,B21="Bite",E21+10,B21="Other",E21+30,B21="BAS",E21+56,B21="Seized",E21)</f>
        <v>#N/A</v>
      </c>
      <c r="H21" s="6">
        <f t="shared" si="0"/>
        <v>0</v>
      </c>
      <c r="I21" s="6" t="e">
        <f t="shared" si="1"/>
        <v>#N/A</v>
      </c>
      <c r="J21" s="2"/>
      <c r="O21" s="5" t="s">
        <v>36</v>
      </c>
      <c r="P21" s="5">
        <f>COUNTIFS($J$3:$J$308,"Euthanized",$B$3:$B$308,"Owner Surrender")</f>
        <v>0</v>
      </c>
      <c r="S21" s="5" t="s">
        <v>210</v>
      </c>
      <c r="T21" s="5">
        <f>COUNTIFS($J$3:$J$300,"DOA",$D$3:$D$300,"6-12 months")</f>
        <v>0</v>
      </c>
    </row>
    <row r="22" spans="1:20" x14ac:dyDescent="0.25">
      <c r="A22" s="3"/>
      <c r="F22" s="2" t="e" cm="1">
        <f t="array" ref="F22">_xlfn.IFS(B22="Owner Surrender",E22,B22="Stray",E22+6,B22="Stray w/identification",E22+11,B22="Bite",E22+10,B22="Other",E22+30,B22="BAS",E22+56,B22="Seized",E22)</f>
        <v>#N/A</v>
      </c>
      <c r="H22" s="6">
        <f t="shared" si="0"/>
        <v>0</v>
      </c>
      <c r="I22" s="6" t="e">
        <f t="shared" si="1"/>
        <v>#N/A</v>
      </c>
      <c r="J22" s="2"/>
      <c r="O22" s="5" t="s">
        <v>38</v>
      </c>
      <c r="P22" s="5">
        <f>COUNTIFS($J$3:$J$309,"Euthanized",$B$3:$B$309,"Stray")</f>
        <v>0</v>
      </c>
      <c r="S22" s="5" t="s">
        <v>208</v>
      </c>
      <c r="T22" s="5">
        <f>COUNTIFS($J$3:$J$300,"DOA",$D$3:$D$300,"Adult")</f>
        <v>0</v>
      </c>
    </row>
    <row r="23" spans="1:20" x14ac:dyDescent="0.25">
      <c r="A23" s="3"/>
      <c r="F23" s="2" t="e" cm="1">
        <f t="array" ref="F23">_xlfn.IFS(B23="Owner Surrender",E23,B23="Stray",E23+6,B23="Stray w/identification",E23+11,B23="Bite",E23+10,B23="Other",E23+30,B23="BAS",E23+56,B23="Seized",E23)</f>
        <v>#N/A</v>
      </c>
      <c r="H23" s="6">
        <f t="shared" si="0"/>
        <v>0</v>
      </c>
      <c r="I23" s="6" t="e">
        <f t="shared" si="1"/>
        <v>#N/A</v>
      </c>
      <c r="J23" s="2"/>
      <c r="O23" s="5" t="s">
        <v>204</v>
      </c>
      <c r="P23" s="5">
        <f>COUNTIFS($J$3:$J$314,"Euthanized",$B$3:$B$314,"Stray w/identification")</f>
        <v>0</v>
      </c>
      <c r="S23" s="5" t="s">
        <v>211</v>
      </c>
      <c r="T23" s="5">
        <f>COUNTIFS($J$3:$J$300,"DOA",$D$3:$D$300,"Senior")</f>
        <v>0</v>
      </c>
    </row>
    <row r="24" spans="1:20" x14ac:dyDescent="0.25">
      <c r="A24" s="3"/>
      <c r="F24" s="2" t="e" cm="1">
        <f t="array" ref="F24">_xlfn.IFS(B24="Owner Surrender",E24,B24="Stray",E24+6,B24="Stray w/identification",E24+11,B24="Bite",E24+10,B24="Other",E24+30,B24="BAS",E24+56,B24="Seized",E24)</f>
        <v>#N/A</v>
      </c>
      <c r="H24" s="6">
        <f t="shared" si="0"/>
        <v>0</v>
      </c>
      <c r="I24" s="6" t="e">
        <f t="shared" si="1"/>
        <v>#N/A</v>
      </c>
      <c r="J24" s="2"/>
      <c r="K24" s="2"/>
      <c r="L24" s="2"/>
      <c r="O24" s="5" t="s">
        <v>53</v>
      </c>
      <c r="P24" s="5">
        <f>COUNTIFS($J$3:$J$314,"Euthanized",$B$3:$B$314,"Seized")</f>
        <v>0</v>
      </c>
      <c r="R24" s="9" t="s">
        <v>206</v>
      </c>
      <c r="S24" s="9"/>
      <c r="T24" s="9"/>
    </row>
    <row r="25" spans="1:20" x14ac:dyDescent="0.25">
      <c r="A25" s="3"/>
      <c r="F25" s="2" t="e" cm="1">
        <f t="array" ref="F25">_xlfn.IFS(B25="Owner Surrender",E25,B25="Stray",E25+6,B25="Stray w/identification",E25+11,B25="Bite",E25+10,B25="Other",E25+30,B25="BAS",E25+56,B25="Seized",E25)</f>
        <v>#N/A</v>
      </c>
      <c r="H25" s="6">
        <f t="shared" si="0"/>
        <v>0</v>
      </c>
      <c r="I25" s="6" t="e">
        <f t="shared" si="1"/>
        <v>#N/A</v>
      </c>
      <c r="J25" s="2"/>
      <c r="K25" s="2"/>
      <c r="O25" s="5" t="s">
        <v>61</v>
      </c>
      <c r="P25" s="5">
        <f>COUNTIFS($J$3:$J$314,"Euthanized",$B$3:$B$314,"Other")</f>
        <v>0</v>
      </c>
      <c r="S25" s="5" t="s">
        <v>209</v>
      </c>
      <c r="T25" s="5">
        <f>COUNTIFS($J$3:$J$300,"RTO",$D$3:$D$300,"0-6 months")</f>
        <v>0</v>
      </c>
    </row>
    <row r="26" spans="1:20" x14ac:dyDescent="0.25">
      <c r="A26" s="3"/>
      <c r="F26" s="2" t="e" cm="1">
        <f t="array" ref="F26">_xlfn.IFS(B26="Owner Surrender",E26,B26="Stray",E26+6,B26="Stray w/identification",E26+11,B26="Bite",E26+10,B26="Other",E26+30,B26="BAS",E26+56,B26="Seized",E26)</f>
        <v>#N/A</v>
      </c>
      <c r="H26" s="6">
        <f t="shared" si="0"/>
        <v>0</v>
      </c>
      <c r="I26" s="6" t="e">
        <f t="shared" si="1"/>
        <v>#N/A</v>
      </c>
      <c r="J26" s="2"/>
      <c r="O26" s="5" t="s">
        <v>205</v>
      </c>
      <c r="P26" s="5">
        <f>COUNTIFS($J$3:$J$314,"Euthanized",$B$3:$B$314,"BAS")</f>
        <v>0</v>
      </c>
      <c r="S26" s="5" t="s">
        <v>210</v>
      </c>
      <c r="T26" s="5">
        <f>COUNTIFS($J$3:$J$300,"RTO",$D$3:$D$300,"6-12 months")</f>
        <v>0</v>
      </c>
    </row>
    <row r="27" spans="1:20" x14ac:dyDescent="0.25">
      <c r="A27" s="3"/>
      <c r="F27" s="2" t="e" cm="1">
        <f t="array" ref="F27">_xlfn.IFS(B27="Owner Surrender",E27,B27="Stray",E27+6,B27="Stray w/identification",E27+11,B27="Bite",E27+10,B27="Other",E27+30,B27="BAS",E27+56,B27="Seized",E27)</f>
        <v>#N/A</v>
      </c>
      <c r="H27" s="6">
        <f t="shared" si="0"/>
        <v>0</v>
      </c>
      <c r="I27" s="6" t="e">
        <f t="shared" si="1"/>
        <v>#N/A</v>
      </c>
      <c r="J27" s="2"/>
      <c r="O27" s="5" t="s">
        <v>42</v>
      </c>
      <c r="P27" s="5">
        <f>COUNTIFS($J$3:$J$314,"Euthanized",$B$3:$B$314,"Bite")</f>
        <v>0</v>
      </c>
      <c r="S27" s="5" t="s">
        <v>208</v>
      </c>
      <c r="T27" s="5">
        <f>COUNTIFS($J$3:$J$300,"RTO",$D$3:$D$300,"Adult")</f>
        <v>0</v>
      </c>
    </row>
    <row r="28" spans="1:20" x14ac:dyDescent="0.25">
      <c r="A28" s="3"/>
      <c r="F28" s="2" t="e" cm="1">
        <f t="array" ref="F28">_xlfn.IFS(B28="Owner Surrender",E28,B28="Stray",E28+6,B28="Stray w/identification",E28+11,B28="Bite",E28+10,B28="Other",E28+30,B28="BAS",E28+56,B28="Seized",E28)</f>
        <v>#N/A</v>
      </c>
      <c r="H28" s="6">
        <f t="shared" si="0"/>
        <v>0</v>
      </c>
      <c r="I28" s="6" t="e">
        <f t="shared" si="1"/>
        <v>#N/A</v>
      </c>
      <c r="J28" s="2"/>
      <c r="N28" s="9" t="s">
        <v>28</v>
      </c>
      <c r="O28" s="9"/>
      <c r="P28" s="9"/>
      <c r="S28" s="5" t="s">
        <v>211</v>
      </c>
      <c r="T28" s="5">
        <f>COUNTIFS($J$3:$J$300,"RTO",$D$3:$D$300,"Senior")</f>
        <v>0</v>
      </c>
    </row>
    <row r="29" spans="1:20" x14ac:dyDescent="0.25">
      <c r="A29" s="3"/>
      <c r="F29" s="2" t="e" cm="1">
        <f t="array" ref="F29">_xlfn.IFS(B29="Owner Surrender",E29,B29="Stray",E29+6,B29="Stray w/identification",E29+11,B29="Bite",E29+10,B29="Other",E29+30,B29="BAS",E29+56,B29="Seized",E29)</f>
        <v>#N/A</v>
      </c>
      <c r="H29" s="6">
        <f t="shared" si="0"/>
        <v>0</v>
      </c>
      <c r="I29" s="6" t="e">
        <f t="shared" si="1"/>
        <v>#N/A</v>
      </c>
      <c r="J29" s="2"/>
      <c r="O29" s="5" t="s">
        <v>36</v>
      </c>
      <c r="P29" s="5">
        <f>COUNTIFS($J$3:$J$314,"DOA",$B$3:$B$314,"Owner Surrender")</f>
        <v>0</v>
      </c>
      <c r="R29" s="9" t="s">
        <v>207</v>
      </c>
      <c r="S29" s="9"/>
      <c r="T29" s="9"/>
    </row>
    <row r="30" spans="1:20" x14ac:dyDescent="0.25">
      <c r="A30" s="3"/>
      <c r="F30" s="2" t="e" cm="1">
        <f t="array" ref="F30">_xlfn.IFS(B30="Owner Surrender",E30,B30="Stray",E30+6,B30="Stray w/identification",E30+11,B30="Bite",E30+10,B30="Other",E30+30,B30="BAS",E30+56,B30="Seized",E30)</f>
        <v>#N/A</v>
      </c>
      <c r="H30" s="6">
        <f t="shared" si="0"/>
        <v>0</v>
      </c>
      <c r="I30" s="6" t="e">
        <f t="shared" si="1"/>
        <v>#N/A</v>
      </c>
      <c r="J30" s="2"/>
      <c r="O30" s="5" t="s">
        <v>38</v>
      </c>
      <c r="P30" s="5">
        <f>COUNTIFS($J$3:$J$314,"DOA",$B$3:$B$314,"Stray")</f>
        <v>0</v>
      </c>
      <c r="S30" s="5" t="s">
        <v>209</v>
      </c>
      <c r="T30" s="5">
        <f>COUNTIFS($J$3:$J$300,"Shelter",$D$3:$D$300,"0-6 months")</f>
        <v>0</v>
      </c>
    </row>
    <row r="31" spans="1:20" x14ac:dyDescent="0.25">
      <c r="A31" s="3"/>
      <c r="F31" s="2" t="e" cm="1">
        <f t="array" ref="F31">_xlfn.IFS(B31="Owner Surrender",E31,B31="Stray",E31+6,B31="Stray w/identification",E31+11,B31="Bite",E31+10,B31="Other",E31+30,B31="BAS",E31+56,B31="Seized",E31)</f>
        <v>#N/A</v>
      </c>
      <c r="H31" s="6">
        <f t="shared" si="0"/>
        <v>0</v>
      </c>
      <c r="I31" s="6" t="e">
        <f t="shared" si="1"/>
        <v>#N/A</v>
      </c>
      <c r="J31" s="2"/>
      <c r="O31" s="5" t="s">
        <v>204</v>
      </c>
      <c r="P31" s="5">
        <f>COUNTIFS($J$3:$J$314,"DOA",$B$3:$B$314,"Stray w/identification")</f>
        <v>0</v>
      </c>
      <c r="S31" s="5" t="s">
        <v>210</v>
      </c>
      <c r="T31" s="5">
        <f>COUNTIFS($J$3:$J$300,"Shelter",$D$3:$D$300,"6-12 months")</f>
        <v>0</v>
      </c>
    </row>
    <row r="32" spans="1:20" x14ac:dyDescent="0.25">
      <c r="A32" s="3"/>
      <c r="F32" s="2" t="e" cm="1">
        <f t="array" ref="F32">_xlfn.IFS(B32="Owner Surrender",E32,B32="Stray",E32+6,B32="Stray w/identification",E32+11,B32="Bite",E32+10,B32="Other",E32+30,B32="BAS",E32+56,B32="Seized",E32)</f>
        <v>#N/A</v>
      </c>
      <c r="H32" s="6">
        <f t="shared" si="0"/>
        <v>0</v>
      </c>
      <c r="I32" s="6" t="e">
        <f t="shared" si="1"/>
        <v>#N/A</v>
      </c>
      <c r="J32" s="2"/>
      <c r="O32" s="5" t="s">
        <v>53</v>
      </c>
      <c r="P32" s="5">
        <f>COUNTIFS($J$3:$J$314,"DOA",$B$3:$B$314,"Seized")</f>
        <v>0</v>
      </c>
      <c r="S32" s="5" t="s">
        <v>208</v>
      </c>
      <c r="T32" s="5">
        <f>COUNTIFS($J$3:$J$300,"Shelter",$D$3:$D$300,"Adult")</f>
        <v>0</v>
      </c>
    </row>
    <row r="33" spans="1:20" x14ac:dyDescent="0.25">
      <c r="A33" s="3"/>
      <c r="F33" s="2" t="e" cm="1">
        <f t="array" ref="F33">_xlfn.IFS(B33="Owner Surrender",E33,B33="Stray",E33+6,B33="Stray w/identification",E33+11,B33="Bite",E33+10,B33="Other",E33+30,B33="BAS",E33+56,B33="Seized",E33)</f>
        <v>#N/A</v>
      </c>
      <c r="H33" s="6">
        <f t="shared" si="0"/>
        <v>0</v>
      </c>
      <c r="I33" s="6" t="e">
        <f t="shared" si="1"/>
        <v>#N/A</v>
      </c>
      <c r="J33" s="2"/>
      <c r="O33" s="5" t="s">
        <v>61</v>
      </c>
      <c r="P33" s="5">
        <f>COUNTIFS($J$3:$J$314,"DOA",$B$3:$B$314,"Other")</f>
        <v>0</v>
      </c>
      <c r="S33" s="5" t="s">
        <v>211</v>
      </c>
      <c r="T33" s="5">
        <f>COUNTIFS($J$3:$J$300,"Shelter",$D$3:$D$300,"Senior")</f>
        <v>0</v>
      </c>
    </row>
    <row r="34" spans="1:20" x14ac:dyDescent="0.25">
      <c r="A34" s="3"/>
      <c r="F34" s="2" t="e" cm="1">
        <f t="array" ref="F34">_xlfn.IFS(B34="Owner Surrender",E34,B34="Stray",E34+6,B34="Stray w/identification",E34+11,B34="Bite",E34+10,B34="Other",E34+30,B34="BAS",E34+56,B34="Seized",E34)</f>
        <v>#N/A</v>
      </c>
      <c r="H34" s="6">
        <f t="shared" si="0"/>
        <v>0</v>
      </c>
      <c r="I34" s="6" t="e">
        <f t="shared" si="1"/>
        <v>#N/A</v>
      </c>
      <c r="J34" s="2"/>
      <c r="O34" s="5" t="s">
        <v>205</v>
      </c>
      <c r="P34" s="5">
        <f>COUNTIFS($J$3:$J$314,"DOA",$B$3:$B$314,"BAS")</f>
        <v>0</v>
      </c>
    </row>
    <row r="35" spans="1:20" x14ac:dyDescent="0.25">
      <c r="A35" s="3"/>
      <c r="F35" s="2" t="e" cm="1">
        <f t="array" ref="F35">_xlfn.IFS(B35="Owner Surrender",E35,B35="Stray",E35+6,B35="Stray w/identification",E35+11,B35="Bite",E35+10,B35="Other",E35+30,B35="BAS",E35+56,B35="Seized",E35)</f>
        <v>#N/A</v>
      </c>
      <c r="H35" s="6">
        <f t="shared" si="0"/>
        <v>0</v>
      </c>
      <c r="I35" s="6" t="e">
        <f t="shared" si="1"/>
        <v>#N/A</v>
      </c>
      <c r="J35" s="2"/>
      <c r="O35" s="5" t="s">
        <v>42</v>
      </c>
      <c r="P35" s="5">
        <f>COUNTIFS($J$3:$J$314,"DOA",$B$3:$B$314,"Bite")</f>
        <v>0</v>
      </c>
    </row>
    <row r="36" spans="1:20" x14ac:dyDescent="0.25">
      <c r="A36" s="3"/>
      <c r="F36" s="2" t="e" cm="1">
        <f t="array" ref="F36">_xlfn.IFS(B36="Owner Surrender",E36,B36="Stray",E36+6,B36="Stray w/identification",E36+11,B36="Bite",E36+10,B36="Other",E36+30,B36="BAS",E36+56,B36="Seized",E36)</f>
        <v>#N/A</v>
      </c>
      <c r="H36" s="6">
        <f t="shared" si="0"/>
        <v>0</v>
      </c>
      <c r="I36" s="6" t="e">
        <f t="shared" si="1"/>
        <v>#N/A</v>
      </c>
      <c r="J36" s="2"/>
      <c r="N36" s="9" t="s">
        <v>206</v>
      </c>
      <c r="O36" s="9"/>
      <c r="P36" s="9"/>
    </row>
    <row r="37" spans="1:20" x14ac:dyDescent="0.25">
      <c r="A37" s="3"/>
      <c r="F37" s="2" t="e" cm="1">
        <f t="array" ref="F37">_xlfn.IFS(B37="Owner Surrender",E37,B37="Stray",E37+6,B37="Stray w/identification",E37+11,B37="Bite",E37+10,B37="Other",E37+30,B37="BAS",E37+56,B37="Seized",E37)</f>
        <v>#N/A</v>
      </c>
      <c r="H37" s="6">
        <f t="shared" si="0"/>
        <v>0</v>
      </c>
      <c r="I37" s="6" t="e">
        <f t="shared" si="1"/>
        <v>#N/A</v>
      </c>
      <c r="J37" s="2"/>
      <c r="O37" s="5" t="s">
        <v>36</v>
      </c>
      <c r="P37" s="5">
        <f>COUNTIFS($J$3:$J$314,"RTO",$B$3:$B$314,"Owner Surrender")</f>
        <v>0</v>
      </c>
    </row>
    <row r="38" spans="1:20" x14ac:dyDescent="0.25">
      <c r="A38" s="3"/>
      <c r="F38" s="2" t="e" cm="1">
        <f t="array" ref="F38">_xlfn.IFS(B38="Owner Surrender",E38,B38="Stray",E38+6,B38="Stray w/identification",E38+11,B38="Bite",E38+10,B38="Other",E38+30,B38="BAS",E38+56,B38="Seized",E38)</f>
        <v>#N/A</v>
      </c>
      <c r="H38" s="6">
        <f t="shared" si="0"/>
        <v>0</v>
      </c>
      <c r="I38" s="6" t="e">
        <f t="shared" si="1"/>
        <v>#N/A</v>
      </c>
      <c r="J38" s="2"/>
      <c r="O38" s="5" t="s">
        <v>38</v>
      </c>
      <c r="P38" s="5">
        <f>COUNTIFS($J$3:$J$314,"RTO",$B$3:$B$314,"Stray")</f>
        <v>0</v>
      </c>
    </row>
    <row r="39" spans="1:20" x14ac:dyDescent="0.25">
      <c r="A39" s="3"/>
      <c r="F39" s="2" t="e" cm="1">
        <f t="array" ref="F39">_xlfn.IFS(B39="Owner Surrender",E39,B39="Stray",E39+6,B39="Stray w/identification",E39+11,B39="Bite",E39+10,B39="Other",E39+30,B39="BAS",E39+56,B39="Seized",E39)</f>
        <v>#N/A</v>
      </c>
      <c r="H39" s="6">
        <f t="shared" si="0"/>
        <v>0</v>
      </c>
      <c r="I39" s="6" t="e">
        <f t="shared" si="1"/>
        <v>#N/A</v>
      </c>
      <c r="J39" s="2"/>
      <c r="O39" s="5" t="s">
        <v>204</v>
      </c>
      <c r="P39" s="5">
        <f>COUNTIFS($J$3:$J$314,"RTO",$B$3:$B$314,"Stray w/identification")</f>
        <v>0</v>
      </c>
    </row>
    <row r="40" spans="1:20" x14ac:dyDescent="0.25">
      <c r="A40" s="3"/>
      <c r="F40" s="2" t="e" cm="1">
        <f t="array" ref="F40">_xlfn.IFS(B40="Owner Surrender",E40,B40="Stray",E40+6,B40="Stray w/identification",E40+11,B40="Bite",E40+10,B40="Other",E40+30,B40="BAS",E40+56,B40="Seized",E40)</f>
        <v>#N/A</v>
      </c>
      <c r="H40" s="6">
        <f t="shared" si="0"/>
        <v>0</v>
      </c>
      <c r="I40" s="6" t="e">
        <f t="shared" si="1"/>
        <v>#N/A</v>
      </c>
      <c r="J40" s="2"/>
      <c r="O40" s="5" t="s">
        <v>53</v>
      </c>
      <c r="P40" s="5">
        <f>COUNTIFS($J$3:$J$314,"RTO",$B$3:$B$314,"Seized")</f>
        <v>0</v>
      </c>
    </row>
    <row r="41" spans="1:20" x14ac:dyDescent="0.25">
      <c r="A41" s="3"/>
      <c r="F41" s="2" t="e" cm="1">
        <f t="array" ref="F41">_xlfn.IFS(B41="Owner Surrender",E41,B41="Stray",E41+6,B41="Stray w/identification",E41+11,B41="Bite",E41+10,B41="Other",E41+30,B41="BAS",E41+56,B41="Seized",E41)</f>
        <v>#N/A</v>
      </c>
      <c r="H41" s="6">
        <f t="shared" si="0"/>
        <v>0</v>
      </c>
      <c r="I41" s="6" t="e">
        <f t="shared" si="1"/>
        <v>#N/A</v>
      </c>
      <c r="J41" s="2"/>
      <c r="O41" s="5" t="s">
        <v>61</v>
      </c>
      <c r="P41" s="5">
        <f>COUNTIFS($J$3:$J$314,"RTO",$B$3:$B$314,"Other")</f>
        <v>0</v>
      </c>
    </row>
    <row r="42" spans="1:20" x14ac:dyDescent="0.25">
      <c r="A42" s="3"/>
      <c r="F42" s="2" t="e" cm="1">
        <f t="array" ref="F42">_xlfn.IFS(B42="Owner Surrender",E42,B42="Stray",E42+6,B42="Stray w/identification",E42+11,B42="Bite",E42+10,B42="Other",E42+30,B42="BAS",E42+56,B42="Seized",E42)</f>
        <v>#N/A</v>
      </c>
      <c r="H42" s="6">
        <f t="shared" si="0"/>
        <v>0</v>
      </c>
      <c r="I42" s="6" t="e">
        <f t="shared" si="1"/>
        <v>#N/A</v>
      </c>
      <c r="J42" s="2"/>
      <c r="O42" s="5" t="s">
        <v>205</v>
      </c>
      <c r="P42" s="5">
        <f>COUNTIFS($J$3:$J$314,"RTO",$B$3:$B$314,"BAS")</f>
        <v>0</v>
      </c>
    </row>
    <row r="43" spans="1:20" x14ac:dyDescent="0.25">
      <c r="A43" s="3"/>
      <c r="F43" s="2" t="e" cm="1">
        <f t="array" ref="F43">_xlfn.IFS(B43="Owner Surrender",E43,B43="Stray",E43+6,B43="Stray w/identification",E43+11,B43="Bite",E43+10,B43="Other",E43+30,B43="BAS",E43+56,B43="Seized",E43)</f>
        <v>#N/A</v>
      </c>
      <c r="H43" s="6">
        <f t="shared" si="0"/>
        <v>0</v>
      </c>
      <c r="I43" s="6" t="e">
        <f t="shared" si="1"/>
        <v>#N/A</v>
      </c>
      <c r="J43" s="2"/>
      <c r="O43" s="5" t="s">
        <v>42</v>
      </c>
      <c r="P43" s="5">
        <f>COUNTIFS($J$3:$J$314,"RTO",$B$3:$B$314,"Bite")</f>
        <v>0</v>
      </c>
    </row>
    <row r="44" spans="1:20" x14ac:dyDescent="0.25">
      <c r="A44" s="3"/>
      <c r="F44" s="2" t="e" cm="1">
        <f t="array" ref="F44">_xlfn.IFS(B44="Owner Surrender",E44,B44="Stray",E44+6,B44="Stray w/identification",E44+11,B44="Bite",E44+10,B44="Other",E44+30,B44="BAS",E44+56,B44="Seized",E44)</f>
        <v>#N/A</v>
      </c>
      <c r="H44" s="6">
        <f t="shared" si="0"/>
        <v>0</v>
      </c>
      <c r="I44" s="6" t="e">
        <f t="shared" si="1"/>
        <v>#N/A</v>
      </c>
      <c r="J44" s="2"/>
      <c r="K44" s="2"/>
      <c r="N44" s="9" t="s">
        <v>207</v>
      </c>
      <c r="O44" s="9"/>
      <c r="P44" s="9"/>
    </row>
    <row r="45" spans="1:20" x14ac:dyDescent="0.25">
      <c r="A45" s="3"/>
      <c r="F45" s="2" t="e" cm="1">
        <f t="array" ref="F45">_xlfn.IFS(B45="Owner Surrender",E45,B45="Stray",E45+6,B45="Stray w/identification",E45+11,B45="Bite",E45+10,B45="Other",E45+30,B45="BAS",E45+56,B45="Seized",E45)</f>
        <v>#N/A</v>
      </c>
      <c r="H45" s="6">
        <f t="shared" si="0"/>
        <v>0</v>
      </c>
      <c r="I45" s="6" t="e">
        <f t="shared" si="1"/>
        <v>#N/A</v>
      </c>
      <c r="J45" s="2"/>
      <c r="K45" s="2"/>
      <c r="O45" s="5" t="s">
        <v>36</v>
      </c>
      <c r="P45" s="5">
        <f>COUNTIFS($J$3:$J$314,"Shelter",$B$3:$B$314,"Owner Surrender")</f>
        <v>0</v>
      </c>
    </row>
    <row r="46" spans="1:20" x14ac:dyDescent="0.25">
      <c r="A46" s="3"/>
      <c r="F46" s="2" t="e" cm="1">
        <f t="array" ref="F46">_xlfn.IFS(B46="Owner Surrender",E46,B46="Stray",E46+6,B46="Stray w/identification",E46+11,B46="Bite",E46+10,B46="Other",E46+30,B46="BAS",E46+56,B46="Seized",E46)</f>
        <v>#N/A</v>
      </c>
      <c r="H46" s="6">
        <f t="shared" si="0"/>
        <v>0</v>
      </c>
      <c r="I46" s="6" t="e">
        <f t="shared" si="1"/>
        <v>#N/A</v>
      </c>
      <c r="J46" s="2"/>
      <c r="K46" s="2"/>
      <c r="O46" s="5" t="s">
        <v>38</v>
      </c>
      <c r="P46" s="5">
        <f>COUNTIFS($J$3:$J$314,"Shelter",$B$3:$B$314,"Stray")</f>
        <v>0</v>
      </c>
    </row>
    <row r="47" spans="1:20" x14ac:dyDescent="0.25">
      <c r="A47" s="3"/>
      <c r="F47" s="2" t="e" cm="1">
        <f t="array" ref="F47">_xlfn.IFS(B47="Owner Surrender",E47,B47="Stray",E47+6,B47="Stray w/identification",E47+11,B47="Bite",E47+10,B47="Other",E47+30,B47="BAS",E47+56,B47="Seized",E47)</f>
        <v>#N/A</v>
      </c>
      <c r="H47" s="6">
        <f t="shared" si="0"/>
        <v>0</v>
      </c>
      <c r="I47" s="6" t="e">
        <f t="shared" si="1"/>
        <v>#N/A</v>
      </c>
      <c r="J47" s="2"/>
      <c r="O47" s="5" t="s">
        <v>204</v>
      </c>
      <c r="P47" s="5">
        <f>COUNTIFS($J$3:$J$314,"Shelter",$B$3:$B$314,"Stray w/identification")</f>
        <v>0</v>
      </c>
    </row>
    <row r="48" spans="1:20" x14ac:dyDescent="0.25">
      <c r="A48" s="3"/>
      <c r="F48" s="2" t="e" cm="1">
        <f t="array" ref="F48">_xlfn.IFS(B48="Owner Surrender",E48,B48="Stray",E48+6,B48="Stray w/identification",E48+11,B48="Bite",E48+10,B48="Other",E48+30,B48="BAS",E48+56,B48="Seized",E48)</f>
        <v>#N/A</v>
      </c>
      <c r="H48" s="6">
        <f t="shared" si="0"/>
        <v>0</v>
      </c>
      <c r="I48" s="6" t="e">
        <f t="shared" si="1"/>
        <v>#N/A</v>
      </c>
      <c r="J48" s="2"/>
      <c r="O48" s="5" t="s">
        <v>53</v>
      </c>
      <c r="P48" s="5">
        <f>COUNTIFS($J$3:$J$314,"Shelter",$B$3:$B$314,"Seized")</f>
        <v>0</v>
      </c>
    </row>
    <row r="49" spans="1:16" x14ac:dyDescent="0.25">
      <c r="A49" s="3"/>
      <c r="F49" s="2" t="e" cm="1">
        <f t="array" ref="F49">_xlfn.IFS(B49="Owner Surrender",E49,B49="Stray",E49+6,B49="Stray w/identification",E49+11,B49="Bite",E49+10,B49="Other",E49+30,B49="BAS",E49+56,B49="Seized",E49)</f>
        <v>#N/A</v>
      </c>
      <c r="H49" s="6">
        <f t="shared" si="0"/>
        <v>0</v>
      </c>
      <c r="I49" s="6" t="e">
        <f t="shared" si="1"/>
        <v>#N/A</v>
      </c>
      <c r="J49" s="2"/>
      <c r="O49" s="5" t="s">
        <v>61</v>
      </c>
      <c r="P49" s="5">
        <f>COUNTIFS($J$3:$J$314,"Shelter",$B$3:$B$314,"Other")</f>
        <v>0</v>
      </c>
    </row>
    <row r="50" spans="1:16" x14ac:dyDescent="0.25">
      <c r="A50" s="3"/>
      <c r="F50" s="2" t="e" cm="1">
        <f t="array" ref="F50">_xlfn.IFS(B50="Owner Surrender",E50,B50="Stray",E50+6,B50="Stray w/identification",E50+11,B50="Bite",E50+10,B50="Other",E50+30,B50="BAS",E50+56,B50="Seized",E50)</f>
        <v>#N/A</v>
      </c>
      <c r="H50" s="6">
        <f t="shared" si="0"/>
        <v>0</v>
      </c>
      <c r="I50" s="6" t="e">
        <f t="shared" si="1"/>
        <v>#N/A</v>
      </c>
      <c r="J50" s="2"/>
      <c r="K50" s="2"/>
      <c r="L50" s="2"/>
      <c r="O50" s="5" t="s">
        <v>205</v>
      </c>
      <c r="P50" s="5">
        <f>COUNTIFS($J$3:$J$314,"Shelter",$B$3:$B$314,"BAS")</f>
        <v>0</v>
      </c>
    </row>
    <row r="51" spans="1:16" x14ac:dyDescent="0.25">
      <c r="A51" s="3"/>
      <c r="F51" s="2" t="e" cm="1">
        <f t="array" ref="F51">_xlfn.IFS(B51="Owner Surrender",E51,B51="Stray",E51+6,B51="Stray w/identification",E51+11,B51="Bite",E51+10,B51="Other",E51+30,B51="BAS",E51+56,B51="Seized",E51)</f>
        <v>#N/A</v>
      </c>
      <c r="H51" s="6">
        <f t="shared" si="0"/>
        <v>0</v>
      </c>
      <c r="I51" s="6" t="e">
        <f t="shared" si="1"/>
        <v>#N/A</v>
      </c>
      <c r="J51" s="2"/>
      <c r="O51" s="5" t="s">
        <v>42</v>
      </c>
      <c r="P51" s="5">
        <f>COUNTIFS($J$3:$J$314,"Shelter",$B$3:$B$314,"Bite")</f>
        <v>0</v>
      </c>
    </row>
    <row r="52" spans="1:16" x14ac:dyDescent="0.25">
      <c r="A52" s="3"/>
      <c r="F52" s="2" t="e" cm="1">
        <f t="array" ref="F52">_xlfn.IFS(B52="Owner Surrender",E52,B52="Stray",E52+6,B52="Stray w/identification",E52+11,B52="Bite",E52+10,B52="Other",E52+30,B52="BAS",E52+56,B52="Seized",E52)</f>
        <v>#N/A</v>
      </c>
      <c r="H52" s="6">
        <f t="shared" si="0"/>
        <v>0</v>
      </c>
      <c r="I52" s="6" t="e">
        <f t="shared" si="1"/>
        <v>#N/A</v>
      </c>
      <c r="J52" s="2"/>
    </row>
    <row r="53" spans="1:16" x14ac:dyDescent="0.25">
      <c r="A53" s="3"/>
      <c r="F53" s="2" t="e" cm="1">
        <f t="array" ref="F53">_xlfn.IFS(B53="Owner Surrender",E53,B53="Stray",E53+6,B53="Stray w/identification",E53+11,B53="Bite",E53+10,B53="Other",E53+30,B53="BAS",E53+56,B53="Seized",E53)</f>
        <v>#N/A</v>
      </c>
      <c r="H53" s="6">
        <f t="shared" si="0"/>
        <v>0</v>
      </c>
      <c r="I53" s="6" t="e">
        <f t="shared" si="1"/>
        <v>#N/A</v>
      </c>
      <c r="J53" s="2"/>
    </row>
    <row r="54" spans="1:16" x14ac:dyDescent="0.25">
      <c r="A54" s="3"/>
      <c r="F54" s="2" t="e" cm="1">
        <f t="array" ref="F54">_xlfn.IFS(B54="Owner Surrender",E54,B54="Stray",E54+6,B54="Stray w/identification",E54+11,B54="Bite",E54+10,B54="Other",E54+30,B54="BAS",E54+56,B54="Seized",E54)</f>
        <v>#N/A</v>
      </c>
      <c r="H54" s="6">
        <f t="shared" si="0"/>
        <v>0</v>
      </c>
      <c r="I54" s="6" t="e">
        <f t="shared" si="1"/>
        <v>#N/A</v>
      </c>
      <c r="J54" s="2"/>
    </row>
    <row r="55" spans="1:16" x14ac:dyDescent="0.25">
      <c r="A55" s="3"/>
      <c r="F55" s="2" t="e" cm="1">
        <f t="array" ref="F55">_xlfn.IFS(B55="Owner Surrender",E55,B55="Stray",E55+6,B55="Stray w/identification",E55+11,B55="Bite",E55+10,B55="Other",E55+30,B55="BAS",E55+56,B55="Seized",E55)</f>
        <v>#N/A</v>
      </c>
      <c r="H55" s="6">
        <f t="shared" si="0"/>
        <v>0</v>
      </c>
      <c r="I55" s="6" t="e">
        <f t="shared" si="1"/>
        <v>#N/A</v>
      </c>
      <c r="J55" s="2"/>
    </row>
    <row r="56" spans="1:16" x14ac:dyDescent="0.25">
      <c r="A56" s="3"/>
      <c r="F56" s="2" t="e" cm="1">
        <f t="array" ref="F56">_xlfn.IFS(B56="Owner Surrender",E56,B56="Stray",E56+6,B56="Stray w/identification",E56+11,B56="Bite",E56+10,B56="Other",E56+30,B56="BAS",E56+56,B56="Seized",E56)</f>
        <v>#N/A</v>
      </c>
      <c r="H56" s="6">
        <f t="shared" si="0"/>
        <v>0</v>
      </c>
      <c r="I56" s="6" t="e">
        <f t="shared" si="1"/>
        <v>#N/A</v>
      </c>
      <c r="J56" s="2"/>
    </row>
    <row r="57" spans="1:16" x14ac:dyDescent="0.25">
      <c r="A57" s="3"/>
      <c r="F57" s="2" t="e" cm="1">
        <f t="array" ref="F57">_xlfn.IFS(B57="Owner Surrender",E57,B57="Stray",E57+6,B57="Stray w/identification",E57+11,B57="Bite",E57+10,B57="Other",E57+30,B57="BAS",E57+56,B57="Seized",E57)</f>
        <v>#N/A</v>
      </c>
      <c r="H57" s="6">
        <f t="shared" si="0"/>
        <v>0</v>
      </c>
      <c r="I57" s="6" t="e">
        <f t="shared" si="1"/>
        <v>#N/A</v>
      </c>
      <c r="J57" s="2"/>
    </row>
    <row r="58" spans="1:16" x14ac:dyDescent="0.25">
      <c r="A58" s="3"/>
      <c r="F58" s="2" t="e" cm="1">
        <f t="array" ref="F58">_xlfn.IFS(B58="Owner Surrender",E58,B58="Stray",E58+6,B58="Stray w/identification",E58+11,B58="Bite",E58+10,B58="Other",E58+30,B58="BAS",E58+56,B58="Seized",E58)</f>
        <v>#N/A</v>
      </c>
      <c r="H58" s="6">
        <f t="shared" si="0"/>
        <v>0</v>
      </c>
      <c r="I58" s="6" t="e">
        <f t="shared" si="1"/>
        <v>#N/A</v>
      </c>
      <c r="J58" s="2"/>
    </row>
    <row r="59" spans="1:16" x14ac:dyDescent="0.25">
      <c r="A59" s="3"/>
      <c r="F59" s="2" t="e" cm="1">
        <f t="array" ref="F59">_xlfn.IFS(B59="Owner Surrender",E59,B59="Stray",E59+6,B59="Stray w/identification",E59+11,B59="Bite",E59+10,B59="Other",E59+30,B59="BAS",E59+56,B59="Seized",E59)</f>
        <v>#N/A</v>
      </c>
      <c r="I59" s="6" t="e">
        <f t="shared" si="1"/>
        <v>#N/A</v>
      </c>
      <c r="J59" s="2"/>
      <c r="L59" s="2"/>
    </row>
    <row r="60" spans="1:16" x14ac:dyDescent="0.25">
      <c r="A60" s="3"/>
      <c r="F60" s="2" t="e" cm="1">
        <f t="array" ref="F60">_xlfn.IFS(B60="Owner Surrender",E60,B60="Stray",E60+6,B60="Stray w/identification",E60+11,B60="Bite",E60+10,B60="Other",E60+30,B60="BAS",E60+56,B60="Seized",E60)</f>
        <v>#N/A</v>
      </c>
      <c r="H60" s="6">
        <f>+G60-E60</f>
        <v>0</v>
      </c>
      <c r="I60" s="6" t="e">
        <f t="shared" si="1"/>
        <v>#N/A</v>
      </c>
      <c r="J60" s="2"/>
    </row>
    <row r="61" spans="1:16" x14ac:dyDescent="0.25">
      <c r="A61" s="3"/>
      <c r="F61" s="2" t="e" cm="1">
        <f t="array" ref="F61">_xlfn.IFS(B61="Owner Surrender",E61,B61="Stray",E61+6,B61="Stray w/identification",E61+11,B61="Bite",E61+10,B61="Other",E61+30,B61="BAS",E61+56,B61="Seized",E61)</f>
        <v>#N/A</v>
      </c>
      <c r="I61" s="6" t="e">
        <f t="shared" si="1"/>
        <v>#N/A</v>
      </c>
      <c r="J61" s="2"/>
      <c r="L61" s="2"/>
    </row>
    <row r="62" spans="1:16" x14ac:dyDescent="0.25">
      <c r="A62" s="3"/>
      <c r="F62" s="2" t="e" cm="1">
        <f t="array" ref="F62">_xlfn.IFS(B62="Owner Surrender",E62,B62="Stray",E62+6,B62="Stray w/identification",E62+11,B62="Bite",E62+10,B62="Other",E62+30,B62="BAS",E62+56,B62="Seized",E62)</f>
        <v>#N/A</v>
      </c>
      <c r="I62" s="6" t="e">
        <f t="shared" si="1"/>
        <v>#N/A</v>
      </c>
      <c r="J62" s="2"/>
      <c r="L62" s="2"/>
    </row>
    <row r="63" spans="1:16" x14ac:dyDescent="0.25">
      <c r="A63" s="3"/>
      <c r="F63" s="2" t="e" cm="1">
        <f t="array" ref="F63">_xlfn.IFS(B63="Owner Surrender",E63,B63="Stray",E63+6,B63="Stray w/identification",E63+11,B63="Bite",E63+10,B63="Other",E63+30,B63="BAS",E63+56,B63="Seized",E63)</f>
        <v>#N/A</v>
      </c>
      <c r="I63" s="6" t="e">
        <f t="shared" si="1"/>
        <v>#N/A</v>
      </c>
      <c r="J63" s="2"/>
      <c r="L63" s="2"/>
    </row>
    <row r="64" spans="1:16" x14ac:dyDescent="0.25">
      <c r="A64" s="3"/>
      <c r="F64" s="2" t="e" cm="1">
        <f t="array" ref="F64">_xlfn.IFS(B64="Owner Surrender",E64,B64="Stray",E64+6,B64="Stray w/identification",E64+11,B64="Bite",E64+10,B64="Other",E64+30,B64="BAS",E64+56,B64="Seized",E64)</f>
        <v>#N/A</v>
      </c>
      <c r="H64" s="6">
        <f t="shared" ref="H64:H95" si="2">+G64-E64</f>
        <v>0</v>
      </c>
      <c r="I64" s="6" t="e">
        <f t="shared" si="1"/>
        <v>#N/A</v>
      </c>
      <c r="J64" s="2"/>
    </row>
    <row r="65" spans="1:12" x14ac:dyDescent="0.25">
      <c r="A65" s="3"/>
      <c r="F65" s="2" t="e" cm="1">
        <f t="array" ref="F65">_xlfn.IFS(B65="Owner Surrender",E65,B65="Stray",E65+6,B65="Stray w/identification",E65+11,B65="Bite",E65+10,B65="Other",E65+30,B65="BAS",E65+56,B65="Seized",E65)</f>
        <v>#N/A</v>
      </c>
      <c r="H65" s="6">
        <f t="shared" si="2"/>
        <v>0</v>
      </c>
      <c r="I65" s="6" t="e">
        <f t="shared" si="1"/>
        <v>#N/A</v>
      </c>
      <c r="J65" s="2"/>
    </row>
    <row r="66" spans="1:12" x14ac:dyDescent="0.25">
      <c r="A66" s="3"/>
      <c r="F66" s="2" t="e" cm="1">
        <f t="array" ref="F66">_xlfn.IFS(B66="Owner Surrender",E66,B66="Stray",E66+6,B66="Stray w/identification",E66+11,B66="Bite",E66+10,B66="Other",E66+30,B66="BAS",E66+56,B66="Seized",E66)</f>
        <v>#N/A</v>
      </c>
      <c r="H66" s="6">
        <f t="shared" si="2"/>
        <v>0</v>
      </c>
      <c r="I66" s="6" t="e">
        <f t="shared" si="1"/>
        <v>#N/A</v>
      </c>
      <c r="J66" s="2"/>
    </row>
    <row r="67" spans="1:12" x14ac:dyDescent="0.25">
      <c r="A67" s="3"/>
      <c r="F67" s="2" t="e" cm="1">
        <f t="array" ref="F67">_xlfn.IFS(B67="Owner Surrender",E67,B67="Stray",E67+6,B67="Stray w/identification",E67+11,B67="Bite",E67+10,B67="Other",E67+30,B67="BAS",E67+56,B67="Seized",E67)</f>
        <v>#N/A</v>
      </c>
      <c r="H67" s="6">
        <f t="shared" si="2"/>
        <v>0</v>
      </c>
      <c r="I67" s="6" t="e">
        <f t="shared" si="1"/>
        <v>#N/A</v>
      </c>
      <c r="J67" s="2"/>
    </row>
    <row r="68" spans="1:12" x14ac:dyDescent="0.25">
      <c r="A68" s="3"/>
      <c r="F68" s="2" t="e" cm="1">
        <f t="array" ref="F68">_xlfn.IFS(B68="Owner Surrender",E68,B68="Stray",E68+6,B68="Stray w/identification",E68+11,B68="Bite",E68+10,B68="Other",E68+30,B68="BAS",E68+56,B68="Seized",E68)</f>
        <v>#N/A</v>
      </c>
      <c r="H68" s="6">
        <f t="shared" si="2"/>
        <v>0</v>
      </c>
      <c r="I68" s="6" t="e">
        <f t="shared" ref="I68:I131" si="3">G68-F68</f>
        <v>#N/A</v>
      </c>
      <c r="J68" s="2"/>
    </row>
    <row r="69" spans="1:12" x14ac:dyDescent="0.25">
      <c r="A69" s="3"/>
      <c r="F69" s="2" t="e" cm="1">
        <f t="array" ref="F69">_xlfn.IFS(B69="Owner Surrender",E69,B69="Stray",E69+6,B69="Stray w/identification",E69+11,B69="Bite",E69+10,B69="Other",E69+30,B69="BAS",E69+56,B69="Seized",E69)</f>
        <v>#N/A</v>
      </c>
      <c r="H69" s="6">
        <f t="shared" si="2"/>
        <v>0</v>
      </c>
      <c r="I69" s="6" t="e">
        <f t="shared" si="3"/>
        <v>#N/A</v>
      </c>
      <c r="J69" s="2"/>
      <c r="K69" s="2"/>
    </row>
    <row r="70" spans="1:12" x14ac:dyDescent="0.25">
      <c r="A70" s="3"/>
      <c r="F70" s="2" t="e" cm="1">
        <f t="array" ref="F70">_xlfn.IFS(B70="Owner Surrender",E70,B70="Stray",E70+6,B70="Stray w/identification",E70+11,B70="Bite",E70+10,B70="Other",E70+30,B70="BAS",E70+56,B70="Seized",E70)</f>
        <v>#N/A</v>
      </c>
      <c r="H70" s="6">
        <f t="shared" si="2"/>
        <v>0</v>
      </c>
      <c r="I70" s="6" t="e">
        <f t="shared" si="3"/>
        <v>#N/A</v>
      </c>
      <c r="J70" s="2"/>
      <c r="K70" s="2"/>
    </row>
    <row r="71" spans="1:12" x14ac:dyDescent="0.25">
      <c r="A71" s="3"/>
      <c r="F71" s="2" t="e" cm="1">
        <f t="array" ref="F71">_xlfn.IFS(B71="Owner Surrender",E71,B71="Stray",E71+6,B71="Stray w/identification",E71+11,B71="Bite",E71+10,B71="Other",E71+30,B71="BAS",E71+56,B71="Seized",E71)</f>
        <v>#N/A</v>
      </c>
      <c r="H71" s="6">
        <f t="shared" si="2"/>
        <v>0</v>
      </c>
      <c r="I71" s="6" t="e">
        <f t="shared" si="3"/>
        <v>#N/A</v>
      </c>
      <c r="J71" s="2"/>
    </row>
    <row r="72" spans="1:12" x14ac:dyDescent="0.25">
      <c r="A72" s="3"/>
      <c r="F72" s="2" t="e" cm="1">
        <f t="array" ref="F72">_xlfn.IFS(B72="Owner Surrender",E72,B72="Stray",E72+6,B72="Stray w/identification",E72+11,B72="Bite",E72+10,B72="Other",E72+30,B72="BAS",E72+56,B72="Seized",E72)</f>
        <v>#N/A</v>
      </c>
      <c r="H72" s="6">
        <f t="shared" si="2"/>
        <v>0</v>
      </c>
      <c r="I72" s="6" t="e">
        <f t="shared" si="3"/>
        <v>#N/A</v>
      </c>
      <c r="J72" s="2"/>
      <c r="K72" s="2"/>
    </row>
    <row r="73" spans="1:12" x14ac:dyDescent="0.25">
      <c r="A73" s="3"/>
      <c r="F73" s="2" t="e" cm="1">
        <f t="array" ref="F73">_xlfn.IFS(B73="Owner Surrender",E73,B73="Stray",E73+6,B73="Stray w/identification",E73+11,B73="Bite",E73+10,B73="Other",E73+30,B73="BAS",E73+56,B73="Seized",E73)</f>
        <v>#N/A</v>
      </c>
      <c r="H73" s="6">
        <f t="shared" si="2"/>
        <v>0</v>
      </c>
      <c r="I73" s="6" t="e">
        <f t="shared" si="3"/>
        <v>#N/A</v>
      </c>
      <c r="J73" s="2"/>
    </row>
    <row r="74" spans="1:12" x14ac:dyDescent="0.25">
      <c r="A74" s="3"/>
      <c r="F74" s="2" t="e" cm="1">
        <f t="array" ref="F74">_xlfn.IFS(B74="Owner Surrender",E74,B74="Stray",E74+6,B74="Stray w/identification",E74+11,B74="Bite",E74+10,B74="Other",E74+30,B74="BAS",E74+56,B74="Seized",E74)</f>
        <v>#N/A</v>
      </c>
      <c r="H74" s="6">
        <f t="shared" si="2"/>
        <v>0</v>
      </c>
      <c r="I74" s="6" t="e">
        <f t="shared" si="3"/>
        <v>#N/A</v>
      </c>
      <c r="J74" s="2"/>
      <c r="K74" s="2"/>
    </row>
    <row r="75" spans="1:12" x14ac:dyDescent="0.25">
      <c r="A75" s="3"/>
      <c r="F75" s="2" t="e" cm="1">
        <f t="array" ref="F75">_xlfn.IFS(B75="Owner Surrender",E75,B75="Stray",E75+6,B75="Stray w/identification",E75+11,B75="Bite",E75+10,B75="Other",E75+30,B75="BAS",E75+56,B75="Seized",E75)</f>
        <v>#N/A</v>
      </c>
      <c r="H75" s="6">
        <f t="shared" si="2"/>
        <v>0</v>
      </c>
      <c r="I75" s="6" t="e">
        <f t="shared" si="3"/>
        <v>#N/A</v>
      </c>
      <c r="J75" s="2"/>
      <c r="K75" s="2"/>
      <c r="L75" s="2"/>
    </row>
    <row r="76" spans="1:12" x14ac:dyDescent="0.25">
      <c r="A76" s="3"/>
      <c r="F76" s="2" t="e" cm="1">
        <f t="array" ref="F76">_xlfn.IFS(B76="Owner Surrender",E76,B76="Stray",E76+6,B76="Stray w/identification",E76+11,B76="Bite",E76+10,B76="Other",E76+30,B76="BAS",E76+56,B76="Seized",E76)</f>
        <v>#N/A</v>
      </c>
      <c r="H76" s="6">
        <f t="shared" si="2"/>
        <v>0</v>
      </c>
      <c r="I76" s="6" t="e">
        <f t="shared" si="3"/>
        <v>#N/A</v>
      </c>
      <c r="J76" s="2"/>
    </row>
    <row r="77" spans="1:12" x14ac:dyDescent="0.25">
      <c r="A77" s="3"/>
      <c r="F77" s="2" t="e" cm="1">
        <f t="array" ref="F77">_xlfn.IFS(B77="Owner Surrender",E77,B77="Stray",E77+6,B77="Stray w/identification",E77+11,B77="Bite",E77+10,B77="Other",E77+30,B77="BAS",E77+56,B77="Seized",E77)</f>
        <v>#N/A</v>
      </c>
      <c r="H77" s="6">
        <f t="shared" si="2"/>
        <v>0</v>
      </c>
      <c r="I77" s="6" t="e">
        <f t="shared" si="3"/>
        <v>#N/A</v>
      </c>
      <c r="J77" s="2"/>
      <c r="K77" s="2"/>
      <c r="L77" s="2"/>
    </row>
    <row r="78" spans="1:12" x14ac:dyDescent="0.25">
      <c r="A78" s="3"/>
      <c r="F78" s="2" t="e" cm="1">
        <f t="array" ref="F78">_xlfn.IFS(B78="Owner Surrender",E78,B78="Stray",E78+6,B78="Stray w/identification",E78+11,B78="Bite",E78+10,B78="Other",E78+30,B78="BAS",E78+56,B78="Seized",E78)</f>
        <v>#N/A</v>
      </c>
      <c r="H78" s="6">
        <f t="shared" si="2"/>
        <v>0</v>
      </c>
      <c r="I78" s="6" t="e">
        <f t="shared" si="3"/>
        <v>#N/A</v>
      </c>
      <c r="J78" s="2"/>
    </row>
    <row r="79" spans="1:12" x14ac:dyDescent="0.25">
      <c r="A79" s="3"/>
      <c r="F79" s="2" t="e" cm="1">
        <f t="array" ref="F79">_xlfn.IFS(B79="Owner Surrender",E79,B79="Stray",E79+6,B79="Stray w/identification",E79+11,B79="Bite",E79+10,B79="Other",E79+30,B79="BAS",E79+56,B79="Seized",E79)</f>
        <v>#N/A</v>
      </c>
      <c r="H79" s="6">
        <f t="shared" si="2"/>
        <v>0</v>
      </c>
      <c r="I79" s="6" t="e">
        <f t="shared" si="3"/>
        <v>#N/A</v>
      </c>
      <c r="J79" s="2"/>
    </row>
    <row r="80" spans="1:12" x14ac:dyDescent="0.25">
      <c r="A80" s="3"/>
      <c r="F80" s="2" t="e" cm="1">
        <f t="array" ref="F80">_xlfn.IFS(B80="Owner Surrender",E80,B80="Stray",E80+6,B80="Stray w/identification",E80+11,B80="Bite",E80+10,B80="Other",E80+30,B80="BAS",E80+56,B80="Seized",E80)</f>
        <v>#N/A</v>
      </c>
      <c r="H80" s="6">
        <f t="shared" si="2"/>
        <v>0</v>
      </c>
      <c r="I80" s="6" t="e">
        <f t="shared" si="3"/>
        <v>#N/A</v>
      </c>
      <c r="J80" s="2"/>
    </row>
    <row r="81" spans="1:12" x14ac:dyDescent="0.25">
      <c r="A81" s="3"/>
      <c r="F81" s="2" t="e" cm="1">
        <f t="array" ref="F81">_xlfn.IFS(B81="Owner Surrender",E81,B81="Stray",E81+6,B81="Stray w/identification",E81+11,B81="Bite",E81+10,B81="Other",E81+30,B81="BAS",E81+56,B81="Seized",E81)</f>
        <v>#N/A</v>
      </c>
      <c r="H81" s="6">
        <f t="shared" si="2"/>
        <v>0</v>
      </c>
      <c r="I81" s="6" t="e">
        <f t="shared" si="3"/>
        <v>#N/A</v>
      </c>
      <c r="J81" s="2"/>
    </row>
    <row r="82" spans="1:12" x14ac:dyDescent="0.25">
      <c r="A82" s="3"/>
      <c r="F82" s="2" t="e" cm="1">
        <f t="array" ref="F82">_xlfn.IFS(B82="Owner Surrender",E82,B82="Stray",E82+6,B82="Stray w/identification",E82+11,B82="Bite",E82+10,B82="Other",E82+30,B82="BAS",E82+56,B82="Seized",E82)</f>
        <v>#N/A</v>
      </c>
      <c r="H82" s="6">
        <f t="shared" si="2"/>
        <v>0</v>
      </c>
      <c r="I82" s="6" t="e">
        <f t="shared" si="3"/>
        <v>#N/A</v>
      </c>
      <c r="J82" s="2"/>
    </row>
    <row r="83" spans="1:12" x14ac:dyDescent="0.25">
      <c r="A83" s="3"/>
      <c r="F83" s="2" t="e" cm="1">
        <f t="array" ref="F83">_xlfn.IFS(B83="Owner Surrender",E83,B83="Stray",E83+6,B83="Stray w/identification",E83+11,B83="Bite",E83+10,B83="Other",E83+30,B83="BAS",E83+56,B83="Seized",E83)</f>
        <v>#N/A</v>
      </c>
      <c r="H83" s="6">
        <f t="shared" si="2"/>
        <v>0</v>
      </c>
      <c r="I83" s="6" t="e">
        <f t="shared" si="3"/>
        <v>#N/A</v>
      </c>
      <c r="J83" s="2"/>
    </row>
    <row r="84" spans="1:12" x14ac:dyDescent="0.25">
      <c r="A84" s="3"/>
      <c r="F84" s="2" t="e" cm="1">
        <f t="array" ref="F84">_xlfn.IFS(B84="Owner Surrender",E84,B84="Stray",E84+6,B84="Stray w/identification",E84+11,B84="Bite",E84+10,B84="Other",E84+30,B84="BAS",E84+56,B84="Seized",E84)</f>
        <v>#N/A</v>
      </c>
      <c r="H84" s="6">
        <f t="shared" si="2"/>
        <v>0</v>
      </c>
      <c r="I84" s="6" t="e">
        <f t="shared" si="3"/>
        <v>#N/A</v>
      </c>
      <c r="J84" s="2"/>
    </row>
    <row r="85" spans="1:12" x14ac:dyDescent="0.25">
      <c r="A85" s="3"/>
      <c r="F85" s="2" t="e" cm="1">
        <f t="array" ref="F85">_xlfn.IFS(B85="Owner Surrender",E85,B85="Stray",E85+6,B85="Stray w/identification",E85+11,B85="Bite",E85+10,B85="Other",E85+30,B85="BAS",E85+56,B85="Seized",E85)</f>
        <v>#N/A</v>
      </c>
      <c r="H85" s="6">
        <f t="shared" si="2"/>
        <v>0</v>
      </c>
      <c r="I85" s="6" t="e">
        <f t="shared" si="3"/>
        <v>#N/A</v>
      </c>
      <c r="J85" s="2"/>
    </row>
    <row r="86" spans="1:12" x14ac:dyDescent="0.25">
      <c r="A86" s="3"/>
      <c r="F86" s="2" t="e" cm="1">
        <f t="array" ref="F86">_xlfn.IFS(B86="Owner Surrender",E86,B86="Stray",E86+6,B86="Stray w/identification",E86+11,B86="Bite",E86+10,B86="Other",E86+30,B86="BAS",E86+56,B86="Seized",E86)</f>
        <v>#N/A</v>
      </c>
      <c r="H86" s="6">
        <f t="shared" si="2"/>
        <v>0</v>
      </c>
      <c r="I86" s="6" t="e">
        <f t="shared" si="3"/>
        <v>#N/A</v>
      </c>
      <c r="J86" s="2"/>
    </row>
    <row r="87" spans="1:12" x14ac:dyDescent="0.25">
      <c r="A87" s="3"/>
      <c r="F87" s="2" t="e" cm="1">
        <f t="array" ref="F87">_xlfn.IFS(B87="Owner Surrender",E87,B87="Stray",E87+6,B87="Stray w/identification",E87+11,B87="Bite",E87+10,B87="Other",E87+30,B87="BAS",E87+56,B87="Seized",E87)</f>
        <v>#N/A</v>
      </c>
      <c r="H87" s="6">
        <f t="shared" si="2"/>
        <v>0</v>
      </c>
      <c r="I87" s="6" t="e">
        <f t="shared" si="3"/>
        <v>#N/A</v>
      </c>
      <c r="J87" s="2"/>
    </row>
    <row r="88" spans="1:12" x14ac:dyDescent="0.25">
      <c r="A88" s="3"/>
      <c r="F88" s="2" t="e" cm="1">
        <f t="array" ref="F88">_xlfn.IFS(B88="Owner Surrender",E88,B88="Stray",E88+6,B88="Stray w/identification",E88+11,B88="Bite",E88+10,B88="Other",E88+30,B88="BAS",E88+56,B88="Seized",E88)</f>
        <v>#N/A</v>
      </c>
      <c r="H88" s="6">
        <f t="shared" si="2"/>
        <v>0</v>
      </c>
      <c r="I88" s="6" t="e">
        <f t="shared" si="3"/>
        <v>#N/A</v>
      </c>
      <c r="J88" s="2"/>
    </row>
    <row r="89" spans="1:12" x14ac:dyDescent="0.25">
      <c r="A89" s="3"/>
      <c r="F89" s="2" t="e" cm="1">
        <f t="array" ref="F89">_xlfn.IFS(B89="Owner Surrender",E89,B89="Stray",E89+6,B89="Stray w/identification",E89+11,B89="Bite",E89+10,B89="Other",E89+30,B89="BAS",E89+56,B89="Seized",E89)</f>
        <v>#N/A</v>
      </c>
      <c r="H89" s="6">
        <f t="shared" si="2"/>
        <v>0</v>
      </c>
      <c r="I89" s="6" t="e">
        <f t="shared" si="3"/>
        <v>#N/A</v>
      </c>
      <c r="J89" s="2"/>
    </row>
    <row r="90" spans="1:12" x14ac:dyDescent="0.25">
      <c r="A90" s="3"/>
      <c r="F90" s="2" t="e" cm="1">
        <f t="array" ref="F90">_xlfn.IFS(B90="Owner Surrender",E90,B90="Stray",E90+6,B90="Stray w/identification",E90+11,B90="Bite",E90+10,B90="Other",E90+30,B90="BAS",E90+56,B90="Seized",E90)</f>
        <v>#N/A</v>
      </c>
      <c r="H90" s="6">
        <f t="shared" si="2"/>
        <v>0</v>
      </c>
      <c r="I90" s="6" t="e">
        <f t="shared" si="3"/>
        <v>#N/A</v>
      </c>
      <c r="J90" s="2"/>
    </row>
    <row r="91" spans="1:12" x14ac:dyDescent="0.25">
      <c r="A91" s="3"/>
      <c r="F91" s="2" t="e" cm="1">
        <f t="array" ref="F91">_xlfn.IFS(B91="Owner Surrender",E91,B91="Stray",E91+6,B91="Stray w/identification",E91+11,B91="Bite",E91+10,B91="Other",E91+30,B91="BAS",E91+56,B91="Seized",E91)</f>
        <v>#N/A</v>
      </c>
      <c r="H91" s="6">
        <f t="shared" si="2"/>
        <v>0</v>
      </c>
      <c r="I91" s="6" t="e">
        <f t="shared" si="3"/>
        <v>#N/A</v>
      </c>
      <c r="J91" s="2"/>
    </row>
    <row r="92" spans="1:12" x14ac:dyDescent="0.25">
      <c r="A92" s="3"/>
      <c r="F92" s="2" t="e" cm="1">
        <f t="array" ref="F92">_xlfn.IFS(B92="Owner Surrender",E92,B92="Stray",E92+6,B92="Stray w/identification",E92+11,B92="Bite",E92+10,B92="Other",E92+30,B92="BAS",E92+56,B92="Seized",E92)</f>
        <v>#N/A</v>
      </c>
      <c r="H92" s="6">
        <f t="shared" si="2"/>
        <v>0</v>
      </c>
      <c r="I92" s="6" t="e">
        <f t="shared" si="3"/>
        <v>#N/A</v>
      </c>
      <c r="J92" s="2"/>
    </row>
    <row r="93" spans="1:12" x14ac:dyDescent="0.25">
      <c r="A93" s="3"/>
      <c r="F93" s="2" t="e" cm="1">
        <f t="array" ref="F93">_xlfn.IFS(B93="Owner Surrender",E93,B93="Stray",E93+6,B93="Stray w/identification",E93+11,B93="Bite",E93+10,B93="Other",E93+30,B93="BAS",E93+56,B93="Seized",E93)</f>
        <v>#N/A</v>
      </c>
      <c r="H93" s="6">
        <f t="shared" si="2"/>
        <v>0</v>
      </c>
      <c r="I93" s="6" t="e">
        <f t="shared" si="3"/>
        <v>#N/A</v>
      </c>
      <c r="J93" s="2"/>
    </row>
    <row r="94" spans="1:12" x14ac:dyDescent="0.25">
      <c r="A94" s="3"/>
      <c r="F94" s="2" t="e" cm="1">
        <f t="array" ref="F94">_xlfn.IFS(B94="Owner Surrender",E94,B94="Stray",E94+6,B94="Stray w/identification",E94+11,B94="Bite",E94+10,B94="Other",E94+30,B94="BAS",E94+56,B94="Seized",E94)</f>
        <v>#N/A</v>
      </c>
      <c r="H94" s="6">
        <f t="shared" si="2"/>
        <v>0</v>
      </c>
      <c r="I94" s="6" t="e">
        <f t="shared" si="3"/>
        <v>#N/A</v>
      </c>
      <c r="J94" s="2"/>
      <c r="K94" s="2"/>
      <c r="L94" s="2"/>
    </row>
    <row r="95" spans="1:12" x14ac:dyDescent="0.25">
      <c r="A95" s="3"/>
      <c r="F95" s="2" t="e" cm="1">
        <f t="array" ref="F95">_xlfn.IFS(B95="Owner Surrender",E95,B95="Stray",E95+6,B95="Stray w/identification",E95+11,B95="Bite",E95+10,B95="Other",E95+30,B95="BAS",E95+56,B95="Seized",E95)</f>
        <v>#N/A</v>
      </c>
      <c r="H95" s="6">
        <f t="shared" si="2"/>
        <v>0</v>
      </c>
      <c r="I95" s="6" t="e">
        <f t="shared" si="3"/>
        <v>#N/A</v>
      </c>
      <c r="J95" s="2"/>
    </row>
    <row r="96" spans="1:12" x14ac:dyDescent="0.25">
      <c r="A96" s="3"/>
      <c r="F96" s="2" t="e" cm="1">
        <f t="array" ref="F96">_xlfn.IFS(B96="Owner Surrender",E96,B96="Stray",E96+6,B96="Stray w/identification",E96+11,B96="Bite",E96+10,B96="Other",E96+30,B96="BAS",E96+56,B96="Seized",E96)</f>
        <v>#N/A</v>
      </c>
      <c r="I96" s="6" t="e">
        <f t="shared" si="3"/>
        <v>#N/A</v>
      </c>
      <c r="J96" s="2"/>
      <c r="K96" s="2"/>
    </row>
    <row r="97" spans="1:11" x14ac:dyDescent="0.25">
      <c r="A97" s="3"/>
      <c r="F97" s="2" t="e" cm="1">
        <f t="array" ref="F97">_xlfn.IFS(B97="Owner Surrender",E97,B97="Stray",E97+6,B97="Stray w/identification",E97+11,B97="Bite",E97+10,B97="Other",E97+30,B97="BAS",E97+56,B97="Seized",E97)</f>
        <v>#N/A</v>
      </c>
      <c r="H97" s="6">
        <f t="shared" ref="H97:H133" si="4">+G97-E97</f>
        <v>0</v>
      </c>
      <c r="I97" s="6" t="e">
        <f t="shared" si="3"/>
        <v>#N/A</v>
      </c>
      <c r="J97" s="2"/>
      <c r="K97" s="2"/>
    </row>
    <row r="98" spans="1:11" x14ac:dyDescent="0.25">
      <c r="A98" s="3"/>
      <c r="F98" s="2" t="e" cm="1">
        <f t="array" ref="F98">_xlfn.IFS(B98="Owner Surrender",E98,B98="Stray",E98+6,B98="Stray w/identification",E98+11,B98="Bite",E98+10,B98="Other",E98+30,B98="BAS",E98+56,B98="Seized",E98)</f>
        <v>#N/A</v>
      </c>
      <c r="H98" s="6">
        <f t="shared" si="4"/>
        <v>0</v>
      </c>
      <c r="I98" s="6" t="e">
        <f t="shared" si="3"/>
        <v>#N/A</v>
      </c>
      <c r="J98" s="2"/>
      <c r="K98" s="2"/>
    </row>
    <row r="99" spans="1:11" x14ac:dyDescent="0.25">
      <c r="A99" s="3"/>
      <c r="F99" s="2" t="e" cm="1">
        <f t="array" ref="F99">_xlfn.IFS(B99="Owner Surrender",E99,B99="Stray",E99+6,B99="Stray w/identification",E99+11,B99="Bite",E99+10,B99="Other",E99+30,B99="BAS",E99+56,B99="Seized",E99)</f>
        <v>#N/A</v>
      </c>
      <c r="H99" s="6">
        <f t="shared" si="4"/>
        <v>0</v>
      </c>
      <c r="I99" s="6" t="e">
        <f t="shared" si="3"/>
        <v>#N/A</v>
      </c>
      <c r="J99" s="2"/>
      <c r="K99" s="2"/>
    </row>
    <row r="100" spans="1:11" x14ac:dyDescent="0.25">
      <c r="A100" s="3"/>
      <c r="F100" s="2" t="e" cm="1">
        <f t="array" ref="F100">_xlfn.IFS(B100="Owner Surrender",E100,B100="Stray",E100+6,B100="Stray w/identification",E100+11,B100="Bite",E100+10,B100="Other",E100+30,B100="BAS",E100+56,B100="Seized",E100)</f>
        <v>#N/A</v>
      </c>
      <c r="H100" s="6">
        <f t="shared" si="4"/>
        <v>0</v>
      </c>
      <c r="I100" s="6" t="e">
        <f t="shared" si="3"/>
        <v>#N/A</v>
      </c>
      <c r="J100" s="2"/>
    </row>
    <row r="101" spans="1:11" x14ac:dyDescent="0.25">
      <c r="A101" s="3"/>
      <c r="F101" s="2" t="e" cm="1">
        <f t="array" ref="F101">_xlfn.IFS(B101="Owner Surrender",E101,B101="Stray",E101+6,B101="Stray w/identification",E101+11,B101="Bite",E101+10,B101="Other",E101+30,B101="BAS",E101+56,B101="Seized",E101)</f>
        <v>#N/A</v>
      </c>
      <c r="H101" s="6">
        <f t="shared" si="4"/>
        <v>0</v>
      </c>
      <c r="I101" s="6" t="e">
        <f t="shared" si="3"/>
        <v>#N/A</v>
      </c>
      <c r="J101" s="2"/>
      <c r="K101" s="2"/>
    </row>
    <row r="102" spans="1:11" x14ac:dyDescent="0.25">
      <c r="A102" s="3"/>
      <c r="F102" s="2" t="e" cm="1">
        <f t="array" ref="F102">_xlfn.IFS(B102="Owner Surrender",E102,B102="Stray",E102+6,B102="Stray w/identification",E102+11,B102="Bite",E102+10,B102="Other",E102+30,B102="BAS",E102+56,B102="Seized",E102)</f>
        <v>#N/A</v>
      </c>
      <c r="H102" s="6">
        <f t="shared" si="4"/>
        <v>0</v>
      </c>
      <c r="I102" s="6" t="e">
        <f t="shared" si="3"/>
        <v>#N/A</v>
      </c>
      <c r="J102" s="2"/>
    </row>
    <row r="103" spans="1:11" x14ac:dyDescent="0.25">
      <c r="A103" s="3"/>
      <c r="F103" s="2" t="e" cm="1">
        <f t="array" ref="F103">_xlfn.IFS(B103="Owner Surrender",E103,B103="Stray",E103+6,B103="Stray w/identification",E103+11,B103="Bite",E103+10,B103="Other",E103+30,B103="BAS",E103+56,B103="Seized",E103)</f>
        <v>#N/A</v>
      </c>
      <c r="H103" s="6">
        <f t="shared" si="4"/>
        <v>0</v>
      </c>
      <c r="I103" s="6" t="e">
        <f t="shared" si="3"/>
        <v>#N/A</v>
      </c>
      <c r="J103" s="2"/>
      <c r="K103" s="2"/>
    </row>
    <row r="104" spans="1:11" x14ac:dyDescent="0.25">
      <c r="A104" s="3"/>
      <c r="F104" s="2" t="e" cm="1">
        <f t="array" ref="F104">_xlfn.IFS(B104="Owner Surrender",E104,B104="Stray",E104+6,B104="Stray w/identification",E104+11,B104="Bite",E104+10,B104="Other",E104+30,B104="BAS",E104+56,B104="Seized",E104)</f>
        <v>#N/A</v>
      </c>
      <c r="H104" s="6">
        <f t="shared" si="4"/>
        <v>0</v>
      </c>
      <c r="I104" s="6" t="e">
        <f t="shared" si="3"/>
        <v>#N/A</v>
      </c>
      <c r="J104" s="2"/>
    </row>
    <row r="105" spans="1:11" x14ac:dyDescent="0.25">
      <c r="A105" s="3"/>
      <c r="F105" s="2" t="e" cm="1">
        <f t="array" ref="F105">_xlfn.IFS(B105="Owner Surrender",E105,B105="Stray",E105+6,B105="Stray w/identification",E105+11,B105="Bite",E105+10,B105="Other",E105+30,B105="BAS",E105+56,B105="Seized",E105)</f>
        <v>#N/A</v>
      </c>
      <c r="H105" s="6">
        <f t="shared" si="4"/>
        <v>0</v>
      </c>
      <c r="I105" s="6" t="e">
        <f t="shared" si="3"/>
        <v>#N/A</v>
      </c>
      <c r="J105" s="2"/>
    </row>
    <row r="106" spans="1:11" x14ac:dyDescent="0.25">
      <c r="A106" s="3"/>
      <c r="F106" s="2" t="e" cm="1">
        <f t="array" ref="F106">_xlfn.IFS(B106="Owner Surrender",E106,B106="Stray",E106+6,B106="Stray w/identification",E106+11,B106="Bite",E106+10,B106="Other",E106+30,B106="BAS",E106+56,B106="Seized",E106)</f>
        <v>#N/A</v>
      </c>
      <c r="H106" s="6">
        <f t="shared" si="4"/>
        <v>0</v>
      </c>
      <c r="I106" s="6" t="e">
        <f t="shared" si="3"/>
        <v>#N/A</v>
      </c>
      <c r="J106" s="2"/>
    </row>
    <row r="107" spans="1:11" x14ac:dyDescent="0.25">
      <c r="A107" s="3"/>
      <c r="F107" s="2" t="e" cm="1">
        <f t="array" ref="F107">_xlfn.IFS(B107="Owner Surrender",E107,B107="Stray",E107+6,B107="Stray w/identification",E107+11,B107="Bite",E107+10,B107="Other",E107+30,B107="BAS",E107+56,B107="Seized",E107)</f>
        <v>#N/A</v>
      </c>
      <c r="H107" s="6">
        <f t="shared" si="4"/>
        <v>0</v>
      </c>
      <c r="I107" s="6" t="e">
        <f t="shared" si="3"/>
        <v>#N/A</v>
      </c>
      <c r="J107" s="2"/>
    </row>
    <row r="108" spans="1:11" x14ac:dyDescent="0.25">
      <c r="A108" s="3"/>
      <c r="F108" s="2" t="e" cm="1">
        <f t="array" ref="F108">_xlfn.IFS(B108="Owner Surrender",E108,B108="Stray",E108+6,B108="Stray w/identification",E108+11,B108="Bite",E108+10,B108="Other",E108+30,B108="BAS",E108+56,B108="Seized",E108)</f>
        <v>#N/A</v>
      </c>
      <c r="H108" s="6">
        <f t="shared" si="4"/>
        <v>0</v>
      </c>
      <c r="I108" s="6" t="e">
        <f t="shared" si="3"/>
        <v>#N/A</v>
      </c>
      <c r="J108" s="2"/>
    </row>
    <row r="109" spans="1:11" x14ac:dyDescent="0.25">
      <c r="A109" s="3"/>
      <c r="F109" s="2" t="e" cm="1">
        <f t="array" ref="F109">_xlfn.IFS(B109="Owner Surrender",E109,B109="Stray",E109+6,B109="Stray w/identification",E109+11,B109="Bite",E109+10,B109="Other",E109+30,B109="BAS",E109+56,B109="Seized",E109)</f>
        <v>#N/A</v>
      </c>
      <c r="H109" s="6">
        <f t="shared" si="4"/>
        <v>0</v>
      </c>
      <c r="I109" s="6" t="e">
        <f t="shared" si="3"/>
        <v>#N/A</v>
      </c>
      <c r="J109" s="2"/>
    </row>
    <row r="110" spans="1:11" x14ac:dyDescent="0.25">
      <c r="A110" s="3"/>
      <c r="F110" s="2" t="e" cm="1">
        <f t="array" ref="F110">_xlfn.IFS(B110="Owner Surrender",E110,B110="Stray",E110+6,B110="Stray w/identification",E110+11,B110="Bite",E110+10,B110="Other",E110+30,B110="BAS",E110+56,B110="Seized",E110)</f>
        <v>#N/A</v>
      </c>
      <c r="H110" s="6">
        <f t="shared" si="4"/>
        <v>0</v>
      </c>
      <c r="I110" s="6" t="e">
        <f t="shared" si="3"/>
        <v>#N/A</v>
      </c>
      <c r="J110" s="2"/>
    </row>
    <row r="111" spans="1:11" x14ac:dyDescent="0.25">
      <c r="A111" s="3"/>
      <c r="F111" s="2" t="e" cm="1">
        <f t="array" ref="F111">_xlfn.IFS(B111="Owner Surrender",E111,B111="Stray",E111+6,B111="Stray w/identification",E111+11,B111="Bite",E111+10,B111="Other",E111+30,B111="BAS",E111+56,B111="Seized",E111)</f>
        <v>#N/A</v>
      </c>
      <c r="H111" s="6">
        <f t="shared" si="4"/>
        <v>0</v>
      </c>
      <c r="I111" s="6" t="e">
        <f t="shared" si="3"/>
        <v>#N/A</v>
      </c>
      <c r="J111" s="2"/>
    </row>
    <row r="112" spans="1:11" x14ac:dyDescent="0.25">
      <c r="A112" s="3"/>
      <c r="F112" s="2" t="e" cm="1">
        <f t="array" ref="F112">_xlfn.IFS(B112="Owner Surrender",E112,B112="Stray",E112+6,B112="Stray w/identification",E112+11,B112="Bite",E112+10,B112="Other",E112+30,B112="BAS",E112+56,B112="Seized",E112)</f>
        <v>#N/A</v>
      </c>
      <c r="H112" s="6">
        <f t="shared" si="4"/>
        <v>0</v>
      </c>
      <c r="I112" s="6" t="e">
        <f t="shared" si="3"/>
        <v>#N/A</v>
      </c>
      <c r="J112" s="2"/>
    </row>
    <row r="113" spans="1:12" x14ac:dyDescent="0.25">
      <c r="A113" s="3"/>
      <c r="F113" s="2" t="e" cm="1">
        <f t="array" ref="F113">_xlfn.IFS(B113="Owner Surrender",E113,B113="Stray",E113+6,B113="Stray w/identification",E113+11,B113="Bite",E113+10,B113="Other",E113+30,B113="BAS",E113+56,B113="Seized",E113)</f>
        <v>#N/A</v>
      </c>
      <c r="H113" s="6">
        <f t="shared" si="4"/>
        <v>0</v>
      </c>
      <c r="I113" s="6" t="e">
        <f t="shared" si="3"/>
        <v>#N/A</v>
      </c>
      <c r="J113" s="2"/>
    </row>
    <row r="114" spans="1:12" x14ac:dyDescent="0.25">
      <c r="A114" s="3"/>
      <c r="F114" s="2" t="e" cm="1">
        <f t="array" ref="F114">_xlfn.IFS(B114="Owner Surrender",E114,B114="Stray",E114+6,B114="Stray w/identification",E114+11,B114="Bite",E114+10,B114="Other",E114+30,B114="BAS",E114+56,B114="Seized",E114)</f>
        <v>#N/A</v>
      </c>
      <c r="H114" s="6">
        <f t="shared" si="4"/>
        <v>0</v>
      </c>
      <c r="I114" s="6" t="e">
        <f t="shared" si="3"/>
        <v>#N/A</v>
      </c>
      <c r="J114" s="2"/>
    </row>
    <row r="115" spans="1:12" x14ac:dyDescent="0.25">
      <c r="A115" s="3"/>
      <c r="F115" s="2" t="e" cm="1">
        <f t="array" ref="F115">_xlfn.IFS(B115="Owner Surrender",E115,B115="Stray",E115+6,B115="Stray w/identification",E115+11,B115="Bite",E115+10,B115="Other",E115+30,B115="BAS",E115+56,B115="Seized",E115)</f>
        <v>#N/A</v>
      </c>
      <c r="H115" s="6">
        <f t="shared" si="4"/>
        <v>0</v>
      </c>
      <c r="I115" s="6" t="e">
        <f t="shared" si="3"/>
        <v>#N/A</v>
      </c>
      <c r="J115" s="2"/>
    </row>
    <row r="116" spans="1:12" x14ac:dyDescent="0.25">
      <c r="A116" s="3"/>
      <c r="F116" s="2" t="e" cm="1">
        <f t="array" ref="F116">_xlfn.IFS(B116="Owner Surrender",E116,B116="Stray",E116+6,B116="Stray w/identification",E116+11,B116="Bite",E116+10,B116="Other",E116+30,B116="BAS",E116+56,B116="Seized",E116)</f>
        <v>#N/A</v>
      </c>
      <c r="H116" s="6">
        <f t="shared" si="4"/>
        <v>0</v>
      </c>
      <c r="I116" s="6" t="e">
        <f t="shared" si="3"/>
        <v>#N/A</v>
      </c>
      <c r="J116" s="2"/>
    </row>
    <row r="117" spans="1:12" x14ac:dyDescent="0.25">
      <c r="A117" s="3"/>
      <c r="F117" s="2" t="e" cm="1">
        <f t="array" ref="F117">_xlfn.IFS(B117="Owner Surrender",E117,B117="Stray",E117+6,B117="Stray w/identification",E117+11,B117="Bite",E117+10,B117="Other",E117+30,B117="BAS",E117+56,B117="Seized",E117)</f>
        <v>#N/A</v>
      </c>
      <c r="H117" s="6">
        <f t="shared" si="4"/>
        <v>0</v>
      </c>
      <c r="I117" s="6" t="e">
        <f t="shared" si="3"/>
        <v>#N/A</v>
      </c>
      <c r="J117" s="2"/>
    </row>
    <row r="118" spans="1:12" x14ac:dyDescent="0.25">
      <c r="A118" s="3"/>
      <c r="F118" s="2" t="e" cm="1">
        <f t="array" ref="F118">_xlfn.IFS(B118="Owner Surrender",E118,B118="Stray",E118+6,B118="Stray w/identification",E118+11,B118="Bite",E118+10,B118="Other",E118+30,B118="BAS",E118+56,B118="Seized",E118)</f>
        <v>#N/A</v>
      </c>
      <c r="H118" s="6">
        <f t="shared" si="4"/>
        <v>0</v>
      </c>
      <c r="I118" s="6" t="e">
        <f t="shared" si="3"/>
        <v>#N/A</v>
      </c>
      <c r="J118" s="2"/>
    </row>
    <row r="119" spans="1:12" x14ac:dyDescent="0.25">
      <c r="A119" s="3"/>
      <c r="F119" s="2" t="e" cm="1">
        <f t="array" ref="F119">_xlfn.IFS(B119="Owner Surrender",E119,B119="Stray",E119+6,B119="Stray w/identification",E119+11,B119="Bite",E119+10,B119="Other",E119+30,B119="BAS",E119+56,B119="Seized",E119)</f>
        <v>#N/A</v>
      </c>
      <c r="H119" s="6">
        <f t="shared" si="4"/>
        <v>0</v>
      </c>
      <c r="I119" s="6" t="e">
        <f t="shared" si="3"/>
        <v>#N/A</v>
      </c>
      <c r="J119" s="2"/>
    </row>
    <row r="120" spans="1:12" x14ac:dyDescent="0.25">
      <c r="A120" s="3"/>
      <c r="F120" s="2" t="e" cm="1">
        <f t="array" ref="F120">_xlfn.IFS(B120="Owner Surrender",E120,B120="Stray",E120+6,B120="Stray w/identification",E120+11,B120="Bite",E120+10,B120="Other",E120+30,B120="BAS",E120+56,B120="Seized",E120)</f>
        <v>#N/A</v>
      </c>
      <c r="H120" s="6">
        <f t="shared" si="4"/>
        <v>0</v>
      </c>
      <c r="I120" s="6" t="e">
        <f t="shared" si="3"/>
        <v>#N/A</v>
      </c>
      <c r="J120" s="2"/>
    </row>
    <row r="121" spans="1:12" x14ac:dyDescent="0.25">
      <c r="A121" s="3"/>
      <c r="F121" s="2" t="e" cm="1">
        <f t="array" ref="F121">_xlfn.IFS(B121="Owner Surrender",E121,B121="Stray",E121+6,B121="Stray w/identification",E121+11,B121="Bite",E121+10,B121="Other",E121+30,B121="BAS",E121+56,B121="Seized",E121)</f>
        <v>#N/A</v>
      </c>
      <c r="H121" s="6">
        <f t="shared" si="4"/>
        <v>0</v>
      </c>
      <c r="I121" s="6" t="e">
        <f t="shared" si="3"/>
        <v>#N/A</v>
      </c>
      <c r="J121" s="2"/>
      <c r="L121" s="2"/>
    </row>
    <row r="122" spans="1:12" x14ac:dyDescent="0.25">
      <c r="A122" s="3"/>
      <c r="F122" s="2" t="e" cm="1">
        <f t="array" ref="F122">_xlfn.IFS(B122="Owner Surrender",E122,B122="Stray",E122+6,B122="Stray w/identification",E122+11,B122="Bite",E122+10,B122="Other",E122+30,B122="BAS",E122+56,B122="Seized",E122)</f>
        <v>#N/A</v>
      </c>
      <c r="H122" s="6">
        <f t="shared" si="4"/>
        <v>0</v>
      </c>
      <c r="I122" s="6" t="e">
        <f t="shared" si="3"/>
        <v>#N/A</v>
      </c>
      <c r="J122" s="2"/>
    </row>
    <row r="123" spans="1:12" x14ac:dyDescent="0.25">
      <c r="A123" s="3"/>
      <c r="F123" s="2" t="e" cm="1">
        <f t="array" ref="F123">_xlfn.IFS(B123="Owner Surrender",E123,B123="Stray",E123+6,B123="Stray w/identification",E123+11,B123="Bite",E123+10,B123="Other",E123+30,B123="BAS",E123+56,B123="Seized",E123)</f>
        <v>#N/A</v>
      </c>
      <c r="H123" s="6">
        <f t="shared" si="4"/>
        <v>0</v>
      </c>
      <c r="I123" s="6" t="e">
        <f t="shared" si="3"/>
        <v>#N/A</v>
      </c>
      <c r="J123" s="2"/>
    </row>
    <row r="124" spans="1:12" x14ac:dyDescent="0.25">
      <c r="A124" s="3"/>
      <c r="F124" s="2" t="e" cm="1">
        <f t="array" ref="F124">_xlfn.IFS(B124="Owner Surrender",E124,B124="Stray",E124+6,B124="Stray w/identification",E124+11,B124="Bite",E124+10,B124="Other",E124+30,B124="BAS",E124+56,B124="Seized",E124)</f>
        <v>#N/A</v>
      </c>
      <c r="H124" s="6">
        <f t="shared" si="4"/>
        <v>0</v>
      </c>
      <c r="I124" s="6" t="e">
        <f t="shared" si="3"/>
        <v>#N/A</v>
      </c>
      <c r="J124" s="2"/>
    </row>
    <row r="125" spans="1:12" x14ac:dyDescent="0.25">
      <c r="A125" s="3"/>
      <c r="F125" s="2" t="e" cm="1">
        <f t="array" ref="F125">_xlfn.IFS(B125="Owner Surrender",E125,B125="Stray",E125+6,B125="Stray w/identification",E125+11,B125="Bite",E125+10,B125="Other",E125+30,B125="BAS",E125+56,B125="Seized",E125)</f>
        <v>#N/A</v>
      </c>
      <c r="H125" s="6">
        <f t="shared" si="4"/>
        <v>0</v>
      </c>
      <c r="I125" s="6" t="e">
        <f t="shared" si="3"/>
        <v>#N/A</v>
      </c>
      <c r="J125" s="2"/>
    </row>
    <row r="126" spans="1:12" x14ac:dyDescent="0.25">
      <c r="A126" s="3"/>
      <c r="F126" s="2" t="e" cm="1">
        <f t="array" ref="F126">_xlfn.IFS(B126="Owner Surrender",E126,B126="Stray",E126+6,B126="Stray w/identification",E126+11,B126="Bite",E126+10,B126="Other",E126+30,B126="BAS",E126+56,B126="Seized",E126)</f>
        <v>#N/A</v>
      </c>
      <c r="H126" s="6">
        <f t="shared" si="4"/>
        <v>0</v>
      </c>
      <c r="I126" s="6" t="e">
        <f t="shared" si="3"/>
        <v>#N/A</v>
      </c>
      <c r="J126" s="2"/>
    </row>
    <row r="127" spans="1:12" x14ac:dyDescent="0.25">
      <c r="A127" s="3"/>
      <c r="F127" s="2" t="e" cm="1">
        <f t="array" ref="F127">_xlfn.IFS(B127="Owner Surrender",E127,B127="Stray",E127+6,B127="Stray w/identification",E127+11,B127="Bite",E127+10,B127="Other",E127+30,B127="BAS",E127+56,B127="Seized",E127)</f>
        <v>#N/A</v>
      </c>
      <c r="H127" s="6">
        <f t="shared" si="4"/>
        <v>0</v>
      </c>
      <c r="I127" s="6" t="e">
        <f t="shared" si="3"/>
        <v>#N/A</v>
      </c>
      <c r="J127" s="2"/>
    </row>
    <row r="128" spans="1:12" x14ac:dyDescent="0.25">
      <c r="A128" s="3"/>
      <c r="F128" s="2" t="e" cm="1">
        <f t="array" ref="F128">_xlfn.IFS(B128="Owner Surrender",E128,B128="Stray",E128+6,B128="Stray w/identification",E128+11,B128="Bite",E128+10,B128="Other",E128+30,B128="BAS",E128+56,B128="Seized",E128)</f>
        <v>#N/A</v>
      </c>
      <c r="H128" s="6">
        <f t="shared" si="4"/>
        <v>0</v>
      </c>
      <c r="I128" s="6" t="e">
        <f t="shared" si="3"/>
        <v>#N/A</v>
      </c>
      <c r="J128" s="2"/>
    </row>
    <row r="129" spans="1:12" x14ac:dyDescent="0.25">
      <c r="A129" s="3"/>
      <c r="F129" s="2" t="e" cm="1">
        <f t="array" ref="F129">_xlfn.IFS(B129="Owner Surrender",E129,B129="Stray",E129+6,B129="Stray w/identification",E129+11,B129="Bite",E129+10,B129="Other",E129+30,B129="BAS",E129+56,B129="Seized",E129)</f>
        <v>#N/A</v>
      </c>
      <c r="H129" s="6">
        <f t="shared" si="4"/>
        <v>0</v>
      </c>
      <c r="I129" s="6" t="e">
        <f t="shared" si="3"/>
        <v>#N/A</v>
      </c>
      <c r="J129" s="2"/>
    </row>
    <row r="130" spans="1:12" x14ac:dyDescent="0.25">
      <c r="A130" s="3"/>
      <c r="F130" s="2" t="e" cm="1">
        <f t="array" ref="F130">_xlfn.IFS(B130="Owner Surrender",E130,B130="Stray",E130+6,B130="Stray w/identification",E130+11,B130="Bite",E130+10,B130="Other",E130+30,B130="BAS",E130+56,B130="Seized",E130)</f>
        <v>#N/A</v>
      </c>
      <c r="H130" s="6">
        <f t="shared" si="4"/>
        <v>0</v>
      </c>
      <c r="I130" s="6" t="e">
        <f t="shared" si="3"/>
        <v>#N/A</v>
      </c>
      <c r="J130" s="2"/>
    </row>
    <row r="131" spans="1:12" x14ac:dyDescent="0.25">
      <c r="A131" s="3"/>
      <c r="F131" s="2" t="e" cm="1">
        <f t="array" ref="F131">_xlfn.IFS(B131="Owner Surrender",E131,B131="Stray",E131+6,B131="Stray w/identification",E131+11,B131="Bite",E131+10,B131="Other",E131+30,B131="BAS",E131+56,B131="Seized",E131)</f>
        <v>#N/A</v>
      </c>
      <c r="H131" s="6">
        <f t="shared" si="4"/>
        <v>0</v>
      </c>
      <c r="I131" s="6" t="e">
        <f t="shared" si="3"/>
        <v>#N/A</v>
      </c>
      <c r="J131" s="2"/>
    </row>
    <row r="132" spans="1:12" x14ac:dyDescent="0.25">
      <c r="A132" s="3"/>
      <c r="F132" s="2" t="e" cm="1">
        <f t="array" ref="F132">_xlfn.IFS(B132="Owner Surrender",E132,B132="Stray",E132+6,B132="Stray w/identification",E132+11,B132="Bite",E132+10,B132="Other",E132+30,B132="BAS",E132+56,B132="Seized",E132)</f>
        <v>#N/A</v>
      </c>
      <c r="H132" s="6">
        <f t="shared" si="4"/>
        <v>0</v>
      </c>
      <c r="I132" s="6" t="e">
        <f t="shared" ref="I132:I195" si="5">G132-F132</f>
        <v>#N/A</v>
      </c>
      <c r="J132" s="2"/>
    </row>
    <row r="133" spans="1:12" x14ac:dyDescent="0.25">
      <c r="A133" s="3"/>
      <c r="F133" s="2" t="e" cm="1">
        <f t="array" ref="F133">_xlfn.IFS(B133="Owner Surrender",E133,B133="Stray",E133+6,B133="Stray w/identification",E133+11,B133="Bite",E133+10,B133="Other",E133+30,B133="BAS",E133+56,B133="Seized",E133)</f>
        <v>#N/A</v>
      </c>
      <c r="H133" s="6">
        <f t="shared" si="4"/>
        <v>0</v>
      </c>
      <c r="I133" s="6" t="e">
        <f t="shared" si="5"/>
        <v>#N/A</v>
      </c>
      <c r="J133" s="2"/>
    </row>
    <row r="134" spans="1:12" x14ac:dyDescent="0.25">
      <c r="A134" s="3"/>
      <c r="F134" s="2" t="e" cm="1">
        <f t="array" ref="F134">_xlfn.IFS(B134="Owner Surrender",E134,B134="Stray",E134+6,B134="Stray w/identification",E134+11,B134="Bite",E134+10,B134="Other",E134+30,B134="BAS",E134+56,B134="Seized",E134)</f>
        <v>#N/A</v>
      </c>
      <c r="I134" s="6" t="e">
        <f t="shared" si="5"/>
        <v>#N/A</v>
      </c>
      <c r="J134" s="2"/>
    </row>
    <row r="135" spans="1:12" x14ac:dyDescent="0.25">
      <c r="A135" s="3"/>
      <c r="F135" s="2" t="e" cm="1">
        <f t="array" ref="F135">_xlfn.IFS(B135="Owner Surrender",E135,B135="Stray",E135+6,B135="Stray w/identification",E135+11,B135="Bite",E135+10,B135="Other",E135+30,B135="BAS",E135+56,B135="Seized",E135)</f>
        <v>#N/A</v>
      </c>
      <c r="H135" s="6">
        <f t="shared" ref="H135:H141" si="6">+G135-E135</f>
        <v>0</v>
      </c>
      <c r="I135" s="6" t="e">
        <f t="shared" si="5"/>
        <v>#N/A</v>
      </c>
      <c r="J135" s="2"/>
    </row>
    <row r="136" spans="1:12" x14ac:dyDescent="0.25">
      <c r="A136" s="3"/>
      <c r="F136" s="2" t="e" cm="1">
        <f t="array" ref="F136">_xlfn.IFS(B136="Owner Surrender",E136,B136="Stray",E136+6,B136="Stray w/identification",E136+11,B136="Bite",E136+10,B136="Other",E136+30,B136="BAS",E136+56,B136="Seized",E136)</f>
        <v>#N/A</v>
      </c>
      <c r="H136" s="6">
        <f t="shared" si="6"/>
        <v>0</v>
      </c>
      <c r="I136" s="6" t="e">
        <f t="shared" si="5"/>
        <v>#N/A</v>
      </c>
      <c r="J136" s="2"/>
    </row>
    <row r="137" spans="1:12" x14ac:dyDescent="0.25">
      <c r="A137" s="3"/>
      <c r="F137" s="2" t="e" cm="1">
        <f t="array" ref="F137">_xlfn.IFS(B137="Owner Surrender",E137,B137="Stray",E137+6,B137="Stray w/identification",E137+11,B137="Bite",E137+10,B137="Other",E137+30,B137="BAS",E137+56,B137="Seized",E137)</f>
        <v>#N/A</v>
      </c>
      <c r="H137" s="6">
        <f t="shared" si="6"/>
        <v>0</v>
      </c>
      <c r="I137" s="6" t="e">
        <f t="shared" si="5"/>
        <v>#N/A</v>
      </c>
      <c r="J137" s="2"/>
    </row>
    <row r="138" spans="1:12" x14ac:dyDescent="0.25">
      <c r="A138" s="3"/>
      <c r="F138" s="2" t="e" cm="1">
        <f t="array" ref="F138">_xlfn.IFS(B138="Owner Surrender",E138,B138="Stray",E138+6,B138="Stray w/identification",E138+11,B138="Bite",E138+10,B138="Other",E138+30,B138="BAS",E138+56,B138="Seized",E138)</f>
        <v>#N/A</v>
      </c>
      <c r="H138" s="6">
        <f t="shared" si="6"/>
        <v>0</v>
      </c>
      <c r="I138" s="6" t="e">
        <f t="shared" si="5"/>
        <v>#N/A</v>
      </c>
      <c r="J138" s="2"/>
    </row>
    <row r="139" spans="1:12" x14ac:dyDescent="0.25">
      <c r="A139" s="3"/>
      <c r="F139" s="2" t="e" cm="1">
        <f t="array" ref="F139">_xlfn.IFS(B139="Owner Surrender",E139,B139="Stray",E139+6,B139="Stray w/identification",E139+11,B139="Bite",E139+10,B139="Other",E139+30,B139="BAS",E139+56,B139="Seized",E139)</f>
        <v>#N/A</v>
      </c>
      <c r="H139" s="6">
        <f t="shared" si="6"/>
        <v>0</v>
      </c>
      <c r="I139" s="6" t="e">
        <f t="shared" si="5"/>
        <v>#N/A</v>
      </c>
      <c r="J139" s="2"/>
    </row>
    <row r="140" spans="1:12" x14ac:dyDescent="0.25">
      <c r="A140" s="3"/>
      <c r="F140" s="2" t="e" cm="1">
        <f t="array" ref="F140">_xlfn.IFS(B140="Owner Surrender",E140,B140="Stray",E140+6,B140="Stray w/identification",E140+11,B140="Bite",E140+10,B140="Other",E140+30,B140="BAS",E140+56,B140="Seized",E140)</f>
        <v>#N/A</v>
      </c>
      <c r="H140" s="6">
        <f t="shared" si="6"/>
        <v>0</v>
      </c>
      <c r="I140" s="6" t="e">
        <f t="shared" si="5"/>
        <v>#N/A</v>
      </c>
      <c r="J140" s="2"/>
      <c r="K140" s="2"/>
    </row>
    <row r="141" spans="1:12" x14ac:dyDescent="0.25">
      <c r="A141" s="3"/>
      <c r="F141" s="2" t="e" cm="1">
        <f t="array" ref="F141">_xlfn.IFS(B141="Owner Surrender",E141,B141="Stray",E141+6,B141="Stray w/identification",E141+11,B141="Bite",E141+10,B141="Other",E141+30,B141="BAS",E141+56,B141="Seized",E141)</f>
        <v>#N/A</v>
      </c>
      <c r="H141" s="6">
        <f t="shared" si="6"/>
        <v>0</v>
      </c>
      <c r="I141" s="6" t="e">
        <f t="shared" si="5"/>
        <v>#N/A</v>
      </c>
      <c r="J141" s="2"/>
    </row>
    <row r="142" spans="1:12" x14ac:dyDescent="0.25">
      <c r="A142" s="3"/>
      <c r="F142" s="2" t="e" cm="1">
        <f t="array" ref="F142">_xlfn.IFS(B142="Owner Surrender",E142,B142="Stray",E142+6,B142="Stray w/identification",E142+11,B142="Bite",E142+10,B142="Other",E142+30,B142="BAS",E142+56,B142="Seized",E142)</f>
        <v>#N/A</v>
      </c>
      <c r="I142" s="6" t="e">
        <f t="shared" si="5"/>
        <v>#N/A</v>
      </c>
      <c r="J142" s="2"/>
      <c r="L142" s="2"/>
    </row>
    <row r="143" spans="1:12" x14ac:dyDescent="0.25">
      <c r="A143" s="3"/>
      <c r="F143" s="2" t="e" cm="1">
        <f t="array" ref="F143">_xlfn.IFS(B143="Owner Surrender",E143,B143="Stray",E143+6,B143="Stray w/identification",E143+11,B143="Bite",E143+10,B143="Other",E143+30,B143="BAS",E143+56,B143="Seized",E143)</f>
        <v>#N/A</v>
      </c>
      <c r="H143" s="6">
        <f t="shared" ref="H143:H150" si="7">+G143-E143</f>
        <v>0</v>
      </c>
      <c r="I143" s="6" t="e">
        <f t="shared" si="5"/>
        <v>#N/A</v>
      </c>
      <c r="J143" s="2"/>
    </row>
    <row r="144" spans="1:12" x14ac:dyDescent="0.25">
      <c r="A144" s="3"/>
      <c r="F144" s="2" t="e" cm="1">
        <f t="array" ref="F144">_xlfn.IFS(B144="Owner Surrender",E144,B144="Stray",E144+6,B144="Stray w/identification",E144+11,B144="Bite",E144+10,B144="Other",E144+30,B144="BAS",E144+56,B144="Seized",E144)</f>
        <v>#N/A</v>
      </c>
      <c r="H144" s="6">
        <f t="shared" si="7"/>
        <v>0</v>
      </c>
      <c r="I144" s="6" t="e">
        <f t="shared" si="5"/>
        <v>#N/A</v>
      </c>
      <c r="J144" s="2"/>
    </row>
    <row r="145" spans="1:12" x14ac:dyDescent="0.25">
      <c r="A145" s="3"/>
      <c r="F145" s="2" t="e" cm="1">
        <f t="array" ref="F145">_xlfn.IFS(B145="Owner Surrender",E145,B145="Stray",E145+6,B145="Stray w/identification",E145+11,B145="Bite",E145+10,B145="Other",E145+30,B145="BAS",E145+56,B145="Seized",E145)</f>
        <v>#N/A</v>
      </c>
      <c r="H145" s="6">
        <f t="shared" si="7"/>
        <v>0</v>
      </c>
      <c r="I145" s="6" t="e">
        <f t="shared" si="5"/>
        <v>#N/A</v>
      </c>
      <c r="J145" s="2"/>
    </row>
    <row r="146" spans="1:12" x14ac:dyDescent="0.25">
      <c r="A146" s="3"/>
      <c r="F146" s="2" t="e" cm="1">
        <f t="array" ref="F146">_xlfn.IFS(B146="Owner Surrender",E146,B146="Stray",E146+6,B146="Stray w/identification",E146+11,B146="Bite",E146+10,B146="Other",E146+30,B146="BAS",E146+56,B146="Seized",E146)</f>
        <v>#N/A</v>
      </c>
      <c r="H146" s="6">
        <f t="shared" si="7"/>
        <v>0</v>
      </c>
      <c r="I146" s="6" t="e">
        <f t="shared" si="5"/>
        <v>#N/A</v>
      </c>
      <c r="J146" s="2"/>
      <c r="K146" s="2"/>
      <c r="L146" s="2"/>
    </row>
    <row r="147" spans="1:12" x14ac:dyDescent="0.25">
      <c r="A147" s="3"/>
      <c r="F147" s="2" t="e" cm="1">
        <f t="array" ref="F147">_xlfn.IFS(B147="Owner Surrender",E147,B147="Stray",E147+6,B147="Stray w/identification",E147+11,B147="Bite",E147+10,B147="Other",E147+30,B147="BAS",E147+56,B147="Seized",E147)</f>
        <v>#N/A</v>
      </c>
      <c r="H147" s="6">
        <f t="shared" si="7"/>
        <v>0</v>
      </c>
      <c r="I147" s="6" t="e">
        <f t="shared" si="5"/>
        <v>#N/A</v>
      </c>
      <c r="J147" s="2"/>
      <c r="K147" s="2"/>
    </row>
    <row r="148" spans="1:12" x14ac:dyDescent="0.25">
      <c r="A148" s="3"/>
      <c r="F148" s="2" t="e" cm="1">
        <f t="array" ref="F148">_xlfn.IFS(B148="Owner Surrender",E148,B148="Stray",E148+6,B148="Stray w/identification",E148+11,B148="Bite",E148+10,B148="Other",E148+30,B148="BAS",E148+56,B148="Seized",E148)</f>
        <v>#N/A</v>
      </c>
      <c r="H148" s="6">
        <f t="shared" si="7"/>
        <v>0</v>
      </c>
      <c r="I148" s="6" t="e">
        <f t="shared" si="5"/>
        <v>#N/A</v>
      </c>
      <c r="J148" s="2"/>
    </row>
    <row r="149" spans="1:12" x14ac:dyDescent="0.25">
      <c r="A149" s="3"/>
      <c r="F149" s="2" t="e" cm="1">
        <f t="array" ref="F149">_xlfn.IFS(B149="Owner Surrender",E149,B149="Stray",E149+6,B149="Stray w/identification",E149+11,B149="Bite",E149+10,B149="Other",E149+30,B149="BAS",E149+56,B149="Seized",E149)</f>
        <v>#N/A</v>
      </c>
      <c r="H149" s="6">
        <f t="shared" si="7"/>
        <v>0</v>
      </c>
      <c r="I149" s="6" t="e">
        <f t="shared" si="5"/>
        <v>#N/A</v>
      </c>
      <c r="J149" s="2"/>
    </row>
    <row r="150" spans="1:12" x14ac:dyDescent="0.25">
      <c r="A150" s="3"/>
      <c r="F150" s="2" t="e" cm="1">
        <f t="array" ref="F150">_xlfn.IFS(B150="Owner Surrender",E150,B150="Stray",E150+6,B150="Stray w/identification",E150+11,B150="Bite",E150+10,B150="Other",E150+30,B150="BAS",E150+56,B150="Seized",E150)</f>
        <v>#N/A</v>
      </c>
      <c r="H150" s="6">
        <f t="shared" si="7"/>
        <v>0</v>
      </c>
      <c r="I150" s="6" t="e">
        <f t="shared" si="5"/>
        <v>#N/A</v>
      </c>
      <c r="J150" s="2"/>
    </row>
    <row r="151" spans="1:12" x14ac:dyDescent="0.25">
      <c r="A151" s="3"/>
      <c r="F151" s="2" t="e" cm="1">
        <f t="array" ref="F151">_xlfn.IFS(B151="Owner Surrender",E151,B151="Stray",E151+6,B151="Stray w/identification",E151+11,B151="Bite",E151+10,B151="Other",E151+30,B151="BAS",E151+56,B151="Seized",E151)</f>
        <v>#N/A</v>
      </c>
      <c r="I151" s="6" t="e">
        <f t="shared" si="5"/>
        <v>#N/A</v>
      </c>
      <c r="J151" s="2"/>
      <c r="K151" s="2"/>
      <c r="L151" s="2"/>
    </row>
    <row r="152" spans="1:12" x14ac:dyDescent="0.25">
      <c r="A152" s="3"/>
      <c r="F152" s="2" t="e" cm="1">
        <f t="array" ref="F152">_xlfn.IFS(B152="Owner Surrender",E152,B152="Stray",E152+6,B152="Stray w/identification",E152+11,B152="Bite",E152+10,B152="Other",E152+30,B152="BAS",E152+56,B152="Seized",E152)</f>
        <v>#N/A</v>
      </c>
      <c r="H152" s="6">
        <f t="shared" ref="H152:H173" si="8">+G152-E152</f>
        <v>0</v>
      </c>
      <c r="I152" s="6" t="e">
        <f t="shared" si="5"/>
        <v>#N/A</v>
      </c>
      <c r="J152" s="2"/>
    </row>
    <row r="153" spans="1:12" x14ac:dyDescent="0.25">
      <c r="A153" s="3"/>
      <c r="F153" s="2" t="e" cm="1">
        <f t="array" ref="F153">_xlfn.IFS(B153="Owner Surrender",E153,B153="Stray",E153+6,B153="Stray w/identification",E153+11,B153="Bite",E153+10,B153="Other",E153+30,B153="BAS",E153+56,B153="Seized",E153)</f>
        <v>#N/A</v>
      </c>
      <c r="H153" s="6">
        <f t="shared" si="8"/>
        <v>0</v>
      </c>
      <c r="I153" s="6" t="e">
        <f t="shared" si="5"/>
        <v>#N/A</v>
      </c>
      <c r="J153" s="2"/>
    </row>
    <row r="154" spans="1:12" x14ac:dyDescent="0.25">
      <c r="A154" s="3"/>
      <c r="F154" s="2" t="e" cm="1">
        <f t="array" ref="F154">_xlfn.IFS(B154="Owner Surrender",E154,B154="Stray",E154+6,B154="Stray w/identification",E154+11,B154="Bite",E154+10,B154="Other",E154+30,B154="BAS",E154+56,B154="Seized",E154)</f>
        <v>#N/A</v>
      </c>
      <c r="H154" s="6">
        <f t="shared" si="8"/>
        <v>0</v>
      </c>
      <c r="I154" s="6" t="e">
        <f t="shared" si="5"/>
        <v>#N/A</v>
      </c>
      <c r="J154" s="2"/>
      <c r="L154" s="2"/>
    </row>
    <row r="155" spans="1:12" x14ac:dyDescent="0.25">
      <c r="A155" s="3"/>
      <c r="F155" s="2" t="e" cm="1">
        <f t="array" ref="F155">_xlfn.IFS(B155="Owner Surrender",E155,B155="Stray",E155+6,B155="Stray w/identification",E155+11,B155="Bite",E155+10,B155="Other",E155+30,B155="BAS",E155+56,B155="Seized",E155)</f>
        <v>#N/A</v>
      </c>
      <c r="H155" s="6">
        <f t="shared" si="8"/>
        <v>0</v>
      </c>
      <c r="I155" s="6" t="e">
        <f t="shared" si="5"/>
        <v>#N/A</v>
      </c>
      <c r="J155" s="2"/>
    </row>
    <row r="156" spans="1:12" x14ac:dyDescent="0.25">
      <c r="A156" s="3"/>
      <c r="F156" s="2" t="e" cm="1">
        <f t="array" ref="F156">_xlfn.IFS(B156="Owner Surrender",E156,B156="Stray",E156+6,B156="Stray w/identification",E156+11,B156="Bite",E156+10,B156="Other",E156+30,B156="BAS",E156+56,B156="Seized",E156)</f>
        <v>#N/A</v>
      </c>
      <c r="H156" s="6">
        <f t="shared" si="8"/>
        <v>0</v>
      </c>
      <c r="I156" s="6" t="e">
        <f t="shared" si="5"/>
        <v>#N/A</v>
      </c>
      <c r="J156" s="2"/>
    </row>
    <row r="157" spans="1:12" x14ac:dyDescent="0.25">
      <c r="A157" s="3"/>
      <c r="F157" s="2" t="e" cm="1">
        <f t="array" ref="F157">_xlfn.IFS(B157="Owner Surrender",E157,B157="Stray",E157+6,B157="Stray w/identification",E157+11,B157="Bite",E157+10,B157="Other",E157+30,B157="BAS",E157+56,B157="Seized",E157)</f>
        <v>#N/A</v>
      </c>
      <c r="H157" s="6">
        <f t="shared" si="8"/>
        <v>0</v>
      </c>
      <c r="I157" s="6" t="e">
        <f t="shared" si="5"/>
        <v>#N/A</v>
      </c>
      <c r="J157" s="2"/>
    </row>
    <row r="158" spans="1:12" x14ac:dyDescent="0.25">
      <c r="A158" s="3"/>
      <c r="F158" s="2" t="e" cm="1">
        <f t="array" ref="F158">_xlfn.IFS(B158="Owner Surrender",E158,B158="Stray",E158+6,B158="Stray w/identification",E158+11,B158="Bite",E158+10,B158="Other",E158+30,B158="BAS",E158+56,B158="Seized",E158)</f>
        <v>#N/A</v>
      </c>
      <c r="H158" s="6">
        <f t="shared" si="8"/>
        <v>0</v>
      </c>
      <c r="I158" s="6" t="e">
        <f t="shared" si="5"/>
        <v>#N/A</v>
      </c>
      <c r="J158" s="2"/>
    </row>
    <row r="159" spans="1:12" x14ac:dyDescent="0.25">
      <c r="A159" s="3"/>
      <c r="F159" s="2" t="e" cm="1">
        <f t="array" ref="F159">_xlfn.IFS(B159="Owner Surrender",E159,B159="Stray",E159+6,B159="Stray w/identification",E159+11,B159="Bite",E159+10,B159="Other",E159+30,B159="BAS",E159+56,B159="Seized",E159)</f>
        <v>#N/A</v>
      </c>
      <c r="H159" s="6">
        <f t="shared" si="8"/>
        <v>0</v>
      </c>
      <c r="I159" s="6" t="e">
        <f t="shared" si="5"/>
        <v>#N/A</v>
      </c>
      <c r="J159" s="2"/>
    </row>
    <row r="160" spans="1:12" x14ac:dyDescent="0.25">
      <c r="A160" s="3"/>
      <c r="F160" s="2" t="e" cm="1">
        <f t="array" ref="F160">_xlfn.IFS(B160="Owner Surrender",E160,B160="Stray",E160+6,B160="Stray w/identification",E160+11,B160="Bite",E160+10,B160="Other",E160+30,B160="BAS",E160+56,B160="Seized",E160)</f>
        <v>#N/A</v>
      </c>
      <c r="H160" s="6">
        <f t="shared" si="8"/>
        <v>0</v>
      </c>
      <c r="I160" s="6" t="e">
        <f t="shared" si="5"/>
        <v>#N/A</v>
      </c>
      <c r="J160" s="2"/>
    </row>
    <row r="161" spans="1:12" x14ac:dyDescent="0.25">
      <c r="A161" s="3"/>
      <c r="F161" s="2" t="e" cm="1">
        <f t="array" ref="F161">_xlfn.IFS(B161="Owner Surrender",E161,B161="Stray",E161+6,B161="Stray w/identification",E161+11,B161="Bite",E161+10,B161="Other",E161+30,B161="BAS",E161+56,B161="Seized",E161)</f>
        <v>#N/A</v>
      </c>
      <c r="H161" s="6">
        <f t="shared" si="8"/>
        <v>0</v>
      </c>
      <c r="I161" s="6" t="e">
        <f t="shared" si="5"/>
        <v>#N/A</v>
      </c>
      <c r="J161" s="2"/>
    </row>
    <row r="162" spans="1:12" x14ac:dyDescent="0.25">
      <c r="A162" s="3"/>
      <c r="F162" s="2" t="e" cm="1">
        <f t="array" ref="F162">_xlfn.IFS(B162="Owner Surrender",E162,B162="Stray",E162+6,B162="Stray w/identification",E162+11,B162="Bite",E162+10,B162="Other",E162+30,B162="BAS",E162+56,B162="Seized",E162)</f>
        <v>#N/A</v>
      </c>
      <c r="H162" s="6">
        <f t="shared" si="8"/>
        <v>0</v>
      </c>
      <c r="I162" s="6" t="e">
        <f t="shared" si="5"/>
        <v>#N/A</v>
      </c>
      <c r="J162" s="2"/>
    </row>
    <row r="163" spans="1:12" x14ac:dyDescent="0.25">
      <c r="A163" s="3"/>
      <c r="F163" s="2" t="e" cm="1">
        <f t="array" ref="F163">_xlfn.IFS(B163="Owner Surrender",E163,B163="Stray",E163+6,B163="Stray w/identification",E163+11,B163="Bite",E163+10,B163="Other",E163+30,B163="BAS",E163+56,B163="Seized",E163)</f>
        <v>#N/A</v>
      </c>
      <c r="H163" s="6">
        <f t="shared" si="8"/>
        <v>0</v>
      </c>
      <c r="I163" s="6" t="e">
        <f t="shared" si="5"/>
        <v>#N/A</v>
      </c>
      <c r="J163" s="2"/>
    </row>
    <row r="164" spans="1:12" x14ac:dyDescent="0.25">
      <c r="A164" s="3"/>
      <c r="F164" s="2" t="e" cm="1">
        <f t="array" ref="F164">_xlfn.IFS(B164="Owner Surrender",E164,B164="Stray",E164+6,B164="Stray w/identification",E164+11,B164="Bite",E164+10,B164="Other",E164+30,B164="BAS",E164+56,B164="Seized",E164)</f>
        <v>#N/A</v>
      </c>
      <c r="H164" s="6">
        <f t="shared" si="8"/>
        <v>0</v>
      </c>
      <c r="I164" s="6" t="e">
        <f t="shared" si="5"/>
        <v>#N/A</v>
      </c>
      <c r="J164" s="2"/>
    </row>
    <row r="165" spans="1:12" x14ac:dyDescent="0.25">
      <c r="A165" s="3"/>
      <c r="F165" s="2" t="e" cm="1">
        <f t="array" ref="F165">_xlfn.IFS(B165="Owner Surrender",E165,B165="Stray",E165+6,B165="Stray w/identification",E165+11,B165="Bite",E165+10,B165="Other",E165+30,B165="BAS",E165+56,B165="Seized",E165)</f>
        <v>#N/A</v>
      </c>
      <c r="H165" s="6">
        <f t="shared" si="8"/>
        <v>0</v>
      </c>
      <c r="I165" s="6" t="e">
        <f t="shared" si="5"/>
        <v>#N/A</v>
      </c>
      <c r="J165" s="2"/>
    </row>
    <row r="166" spans="1:12" x14ac:dyDescent="0.25">
      <c r="A166" s="3"/>
      <c r="F166" s="2" t="e" cm="1">
        <f t="array" ref="F166">_xlfn.IFS(B166="Owner Surrender",E166,B166="Stray",E166+6,B166="Stray w/identification",E166+11,B166="Bite",E166+10,B166="Other",E166+30,B166="BAS",E166+56,B166="Seized",E166)</f>
        <v>#N/A</v>
      </c>
      <c r="H166" s="6">
        <f t="shared" si="8"/>
        <v>0</v>
      </c>
      <c r="I166" s="6" t="e">
        <f t="shared" si="5"/>
        <v>#N/A</v>
      </c>
      <c r="J166" s="2"/>
    </row>
    <row r="167" spans="1:12" x14ac:dyDescent="0.25">
      <c r="A167" s="3"/>
      <c r="F167" s="2" t="e" cm="1">
        <f t="array" ref="F167">_xlfn.IFS(B167="Owner Surrender",E167,B167="Stray",E167+6,B167="Stray w/identification",E167+11,B167="Bite",E167+10,B167="Other",E167+30,B167="BAS",E167+56,B167="Seized",E167)</f>
        <v>#N/A</v>
      </c>
      <c r="H167" s="6">
        <f t="shared" si="8"/>
        <v>0</v>
      </c>
      <c r="I167" s="6" t="e">
        <f t="shared" si="5"/>
        <v>#N/A</v>
      </c>
      <c r="J167" s="2"/>
    </row>
    <row r="168" spans="1:12" x14ac:dyDescent="0.25">
      <c r="A168" s="3"/>
      <c r="F168" s="2" t="e" cm="1">
        <f t="array" ref="F168">_xlfn.IFS(B168="Owner Surrender",E168,B168="Stray",E168+6,B168="Stray w/identification",E168+11,B168="Bite",E168+10,B168="Other",E168+30,B168="BAS",E168+56,B168="Seized",E168)</f>
        <v>#N/A</v>
      </c>
      <c r="H168" s="6">
        <f t="shared" si="8"/>
        <v>0</v>
      </c>
      <c r="I168" s="6" t="e">
        <f t="shared" si="5"/>
        <v>#N/A</v>
      </c>
      <c r="J168" s="2"/>
    </row>
    <row r="169" spans="1:12" x14ac:dyDescent="0.25">
      <c r="A169" s="3"/>
      <c r="F169" s="2" t="e" cm="1">
        <f t="array" ref="F169">_xlfn.IFS(B169="Owner Surrender",E169,B169="Stray",E169+6,B169="Stray w/identification",E169+11,B169="Bite",E169+10,B169="Other",E169+30,B169="BAS",E169+56,B169="Seized",E169)</f>
        <v>#N/A</v>
      </c>
      <c r="H169" s="6">
        <f t="shared" si="8"/>
        <v>0</v>
      </c>
      <c r="I169" s="6" t="e">
        <f t="shared" si="5"/>
        <v>#N/A</v>
      </c>
      <c r="J169" s="2"/>
    </row>
    <row r="170" spans="1:12" x14ac:dyDescent="0.25">
      <c r="A170" s="3"/>
      <c r="F170" s="2" t="e" cm="1">
        <f t="array" ref="F170">_xlfn.IFS(B170="Owner Surrender",E170,B170="Stray",E170+6,B170="Stray w/identification",E170+11,B170="Bite",E170+10,B170="Other",E170+30,B170="BAS",E170+56,B170="Seized",E170)</f>
        <v>#N/A</v>
      </c>
      <c r="H170" s="6">
        <f t="shared" si="8"/>
        <v>0</v>
      </c>
      <c r="I170" s="6" t="e">
        <f t="shared" si="5"/>
        <v>#N/A</v>
      </c>
      <c r="J170" s="2"/>
    </row>
    <row r="171" spans="1:12" x14ac:dyDescent="0.25">
      <c r="A171" s="3"/>
      <c r="F171" s="2" t="e" cm="1">
        <f t="array" ref="F171">_xlfn.IFS(B171="Owner Surrender",E171,B171="Stray",E171+6,B171="Stray w/identification",E171+11,B171="Bite",E171+10,B171="Other",E171+30,B171="BAS",E171+56,B171="Seized",E171)</f>
        <v>#N/A</v>
      </c>
      <c r="H171" s="6">
        <f t="shared" si="8"/>
        <v>0</v>
      </c>
      <c r="I171" s="6" t="e">
        <f t="shared" si="5"/>
        <v>#N/A</v>
      </c>
      <c r="J171" s="2"/>
    </row>
    <row r="172" spans="1:12" x14ac:dyDescent="0.25">
      <c r="A172" s="3"/>
      <c r="F172" s="2" t="e" cm="1">
        <f t="array" ref="F172">_xlfn.IFS(B172="Owner Surrender",E172,B172="Stray",E172+6,B172="Stray w/identification",E172+11,B172="Bite",E172+10,B172="Other",E172+30,B172="BAS",E172+56,B172="Seized",E172)</f>
        <v>#N/A</v>
      </c>
      <c r="H172" s="6">
        <f t="shared" si="8"/>
        <v>0</v>
      </c>
      <c r="I172" s="6" t="e">
        <f t="shared" si="5"/>
        <v>#N/A</v>
      </c>
      <c r="J172" s="2"/>
    </row>
    <row r="173" spans="1:12" x14ac:dyDescent="0.25">
      <c r="A173" s="3"/>
      <c r="F173" s="2" t="e" cm="1">
        <f t="array" ref="F173">_xlfn.IFS(B173="Owner Surrender",E173,B173="Stray",E173+6,B173="Stray w/identification",E173+11,B173="Bite",E173+10,B173="Other",E173+30,B173="BAS",E173+56,B173="Seized",E173)</f>
        <v>#N/A</v>
      </c>
      <c r="H173" s="6">
        <f t="shared" si="8"/>
        <v>0</v>
      </c>
      <c r="I173" s="6" t="e">
        <f t="shared" si="5"/>
        <v>#N/A</v>
      </c>
      <c r="J173" s="2"/>
    </row>
    <row r="174" spans="1:12" x14ac:dyDescent="0.25">
      <c r="A174" s="3"/>
      <c r="F174" s="2" t="e" cm="1">
        <f t="array" ref="F174">_xlfn.IFS(B174="Owner Surrender",E174,B174="Stray",E174+6,B174="Stray w/identification",E174+11,B174="Bite",E174+10,B174="Other",E174+30,B174="BAS",E174+56,B174="Seized",E174)</f>
        <v>#N/A</v>
      </c>
      <c r="I174" s="6" t="e">
        <f t="shared" si="5"/>
        <v>#N/A</v>
      </c>
      <c r="J174" s="2"/>
      <c r="L174" s="2"/>
    </row>
    <row r="175" spans="1:12" x14ac:dyDescent="0.25">
      <c r="A175" s="3"/>
      <c r="F175" s="2" t="e" cm="1">
        <f t="array" ref="F175">_xlfn.IFS(B175="Owner Surrender",E175,B175="Stray",E175+6,B175="Stray w/identification",E175+11,B175="Bite",E175+10,B175="Other",E175+30,B175="BAS",E175+56,B175="Seized",E175)</f>
        <v>#N/A</v>
      </c>
      <c r="H175" s="6">
        <f>+G175-E175</f>
        <v>0</v>
      </c>
      <c r="I175" s="6" t="e">
        <f t="shared" si="5"/>
        <v>#N/A</v>
      </c>
      <c r="J175" s="2"/>
      <c r="K175" s="2"/>
    </row>
    <row r="176" spans="1:12" x14ac:dyDescent="0.25">
      <c r="A176" s="3"/>
      <c r="F176" s="2" t="e" cm="1">
        <f t="array" ref="F176">_xlfn.IFS(B176="Owner Surrender",E176,B176="Stray",E176+6,B176="Stray w/identification",E176+11,B176="Bite",E176+10,B176="Other",E176+30,B176="BAS",E176+56,B176="Seized",E176)</f>
        <v>#N/A</v>
      </c>
      <c r="H176" s="6">
        <f>+G176-E176</f>
        <v>0</v>
      </c>
      <c r="I176" s="6" t="e">
        <f t="shared" si="5"/>
        <v>#N/A</v>
      </c>
      <c r="J176" s="2"/>
      <c r="L176" s="2"/>
    </row>
    <row r="177" spans="1:12" x14ac:dyDescent="0.25">
      <c r="A177" s="3"/>
      <c r="F177" s="2" t="e" cm="1">
        <f t="array" ref="F177">_xlfn.IFS(B177="Owner Surrender",E177,B177="Stray",E177+6,B177="Stray w/identification",E177+11,B177="Bite",E177+10,B177="Other",E177+30,B177="BAS",E177+56,B177="Seized",E177)</f>
        <v>#N/A</v>
      </c>
      <c r="I177" s="6" t="e">
        <f t="shared" si="5"/>
        <v>#N/A</v>
      </c>
      <c r="J177" s="2"/>
      <c r="L177" s="2"/>
    </row>
    <row r="178" spans="1:12" x14ac:dyDescent="0.25">
      <c r="A178" s="3"/>
      <c r="F178" s="2" t="e" cm="1">
        <f t="array" ref="F178">_xlfn.IFS(B178="Owner Surrender",E178,B178="Stray",E178+6,B178="Stray w/identification",E178+11,B178="Bite",E178+10,B178="Other",E178+30,B178="BAS",E178+56,B178="Seized",E178)</f>
        <v>#N/A</v>
      </c>
      <c r="H178" s="6">
        <f t="shared" ref="H178:H195" si="9">+G178-E178</f>
        <v>0</v>
      </c>
      <c r="I178" s="6" t="e">
        <f t="shared" si="5"/>
        <v>#N/A</v>
      </c>
      <c r="J178" s="2"/>
      <c r="L178" s="2"/>
    </row>
    <row r="179" spans="1:12" x14ac:dyDescent="0.25">
      <c r="A179" s="3"/>
      <c r="F179" s="2" t="e" cm="1">
        <f t="array" ref="F179">_xlfn.IFS(B179="Owner Surrender",E179,B179="Stray",E179+6,B179="Stray w/identification",E179+11,B179="Bite",E179+10,B179="Other",E179+30,B179="BAS",E179+56,B179="Seized",E179)</f>
        <v>#N/A</v>
      </c>
      <c r="H179" s="6">
        <f t="shared" si="9"/>
        <v>0</v>
      </c>
      <c r="I179" s="6" t="e">
        <f t="shared" si="5"/>
        <v>#N/A</v>
      </c>
      <c r="J179" s="2"/>
    </row>
    <row r="180" spans="1:12" x14ac:dyDescent="0.25">
      <c r="A180" s="3"/>
      <c r="F180" s="2" t="e" cm="1">
        <f t="array" ref="F180">_xlfn.IFS(B180="Owner Surrender",E180,B180="Stray",E180+6,B180="Stray w/identification",E180+11,B180="Bite",E180+10,B180="Other",E180+30,B180="BAS",E180+56,B180="Seized",E180)</f>
        <v>#N/A</v>
      </c>
      <c r="H180" s="6">
        <f t="shared" si="9"/>
        <v>0</v>
      </c>
      <c r="I180" s="6" t="e">
        <f t="shared" si="5"/>
        <v>#N/A</v>
      </c>
      <c r="J180" s="2"/>
    </row>
    <row r="181" spans="1:12" x14ac:dyDescent="0.25">
      <c r="A181" s="3"/>
      <c r="F181" s="2" t="e" cm="1">
        <f t="array" ref="F181">_xlfn.IFS(B181="Owner Surrender",E181,B181="Stray",E181+6,B181="Stray w/identification",E181+11,B181="Bite",E181+10,B181="Other",E181+30,B181="BAS",E181+56,B181="Seized",E181)</f>
        <v>#N/A</v>
      </c>
      <c r="H181" s="6">
        <f t="shared" si="9"/>
        <v>0</v>
      </c>
      <c r="I181" s="6" t="e">
        <f t="shared" si="5"/>
        <v>#N/A</v>
      </c>
      <c r="J181" s="2"/>
    </row>
    <row r="182" spans="1:12" x14ac:dyDescent="0.25">
      <c r="A182" s="3"/>
      <c r="F182" s="2" t="e" cm="1">
        <f t="array" ref="F182">_xlfn.IFS(B182="Owner Surrender",E182,B182="Stray",E182+6,B182="Stray w/identification",E182+11,B182="Bite",E182+10,B182="Other",E182+30,B182="BAS",E182+56,B182="Seized",E182)</f>
        <v>#N/A</v>
      </c>
      <c r="H182" s="6">
        <f t="shared" si="9"/>
        <v>0</v>
      </c>
      <c r="I182" s="6" t="e">
        <f t="shared" si="5"/>
        <v>#N/A</v>
      </c>
      <c r="J182" s="2"/>
    </row>
    <row r="183" spans="1:12" x14ac:dyDescent="0.25">
      <c r="A183" s="3"/>
      <c r="F183" s="2" t="e" cm="1">
        <f t="array" ref="F183">_xlfn.IFS(B183="Owner Surrender",E183,B183="Stray",E183+6,B183="Stray w/identification",E183+11,B183="Bite",E183+10,B183="Other",E183+30,B183="BAS",E183+56,B183="Seized",E183)</f>
        <v>#N/A</v>
      </c>
      <c r="H183" s="6">
        <f t="shared" si="9"/>
        <v>0</v>
      </c>
      <c r="I183" s="6" t="e">
        <f t="shared" si="5"/>
        <v>#N/A</v>
      </c>
      <c r="J183" s="2"/>
    </row>
    <row r="184" spans="1:12" x14ac:dyDescent="0.25">
      <c r="A184" s="3"/>
      <c r="F184" s="2" t="e" cm="1">
        <f t="array" ref="F184">_xlfn.IFS(B184="Owner Surrender",E184,B184="Stray",E184+6,B184="Stray w/identification",E184+11,B184="Bite",E184+10,B184="Other",E184+30,B184="BAS",E184+56,B184="Seized",E184)</f>
        <v>#N/A</v>
      </c>
      <c r="H184" s="6">
        <f t="shared" si="9"/>
        <v>0</v>
      </c>
      <c r="I184" s="6" t="e">
        <f t="shared" si="5"/>
        <v>#N/A</v>
      </c>
      <c r="J184" s="2"/>
      <c r="K184" s="2"/>
    </row>
    <row r="185" spans="1:12" x14ac:dyDescent="0.25">
      <c r="A185" s="3"/>
      <c r="F185" s="2" t="e" cm="1">
        <f t="array" ref="F185">_xlfn.IFS(B185="Owner Surrender",E185,B185="Stray",E185+6,B185="Stray w/identification",E185+11,B185="Bite",E185+10,B185="Other",E185+30,B185="BAS",E185+56,B185="Seized",E185)</f>
        <v>#N/A</v>
      </c>
      <c r="H185" s="6">
        <f t="shared" si="9"/>
        <v>0</v>
      </c>
      <c r="I185" s="6" t="e">
        <f t="shared" si="5"/>
        <v>#N/A</v>
      </c>
      <c r="J185" s="2"/>
      <c r="K185" s="2"/>
    </row>
    <row r="186" spans="1:12" x14ac:dyDescent="0.25">
      <c r="A186" s="3"/>
      <c r="F186" s="2" t="e" cm="1">
        <f t="array" ref="F186">_xlfn.IFS(B186="Owner Surrender",E186,B186="Stray",E186+6,B186="Stray w/identification",E186+11,B186="Bite",E186+10,B186="Other",E186+30,B186="BAS",E186+56,B186="Seized",E186)</f>
        <v>#N/A</v>
      </c>
      <c r="H186" s="6">
        <f t="shared" si="9"/>
        <v>0</v>
      </c>
      <c r="I186" s="6" t="e">
        <f t="shared" si="5"/>
        <v>#N/A</v>
      </c>
      <c r="J186" s="2"/>
    </row>
    <row r="187" spans="1:12" x14ac:dyDescent="0.25">
      <c r="A187" s="3"/>
      <c r="F187" s="2" t="e" cm="1">
        <f t="array" ref="F187">_xlfn.IFS(B187="Owner Surrender",E187,B187="Stray",E187+6,B187="Stray w/identification",E187+11,B187="Bite",E187+10,B187="Other",E187+30,B187="BAS",E187+56,B187="Seized",E187)</f>
        <v>#N/A</v>
      </c>
      <c r="H187" s="6">
        <f t="shared" si="9"/>
        <v>0</v>
      </c>
      <c r="I187" s="6" t="e">
        <f t="shared" si="5"/>
        <v>#N/A</v>
      </c>
      <c r="J187" s="2"/>
    </row>
    <row r="188" spans="1:12" x14ac:dyDescent="0.25">
      <c r="A188" s="3"/>
      <c r="F188" s="2" t="e" cm="1">
        <f t="array" ref="F188">_xlfn.IFS(B188="Owner Surrender",E188,B188="Stray",E188+6,B188="Stray w/identification",E188+11,B188="Bite",E188+10,B188="Other",E188+30,B188="BAS",E188+56,B188="Seized",E188)</f>
        <v>#N/A</v>
      </c>
      <c r="H188" s="6">
        <f t="shared" si="9"/>
        <v>0</v>
      </c>
      <c r="I188" s="6" t="e">
        <f t="shared" si="5"/>
        <v>#N/A</v>
      </c>
      <c r="J188" s="2"/>
    </row>
    <row r="189" spans="1:12" x14ac:dyDescent="0.25">
      <c r="A189" s="3"/>
      <c r="F189" s="2" t="e" cm="1">
        <f t="array" ref="F189">_xlfn.IFS(B189="Owner Surrender",E189,B189="Stray",E189+6,B189="Stray w/identification",E189+11,B189="Bite",E189+10,B189="Other",E189+30,B189="BAS",E189+56,B189="Seized",E189)</f>
        <v>#N/A</v>
      </c>
      <c r="H189" s="6">
        <f t="shared" si="9"/>
        <v>0</v>
      </c>
      <c r="I189" s="6" t="e">
        <f t="shared" si="5"/>
        <v>#N/A</v>
      </c>
      <c r="J189" s="2"/>
    </row>
    <row r="190" spans="1:12" x14ac:dyDescent="0.25">
      <c r="A190" s="3"/>
      <c r="F190" s="2" t="e" cm="1">
        <f t="array" ref="F190">_xlfn.IFS(B190="Owner Surrender",E190,B190="Stray",E190+6,B190="Stray w/identification",E190+11,B190="Bite",E190+10,B190="Other",E190+30,B190="BAS",E190+56,B190="Seized",E190)</f>
        <v>#N/A</v>
      </c>
      <c r="H190" s="6">
        <f t="shared" si="9"/>
        <v>0</v>
      </c>
      <c r="I190" s="6" t="e">
        <f t="shared" si="5"/>
        <v>#N/A</v>
      </c>
      <c r="J190" s="2"/>
    </row>
    <row r="191" spans="1:12" x14ac:dyDescent="0.25">
      <c r="A191" s="3"/>
      <c r="F191" s="2" t="e" cm="1">
        <f t="array" ref="F191">_xlfn.IFS(B191="Owner Surrender",E191,B191="Stray",E191+6,B191="Stray w/identification",E191+11,B191="Bite",E191+10,B191="Other",E191+30,B191="BAS",E191+56,B191="Seized",E191)</f>
        <v>#N/A</v>
      </c>
      <c r="H191" s="6">
        <f t="shared" si="9"/>
        <v>0</v>
      </c>
      <c r="I191" s="6" t="e">
        <f t="shared" si="5"/>
        <v>#N/A</v>
      </c>
      <c r="J191" s="2"/>
    </row>
    <row r="192" spans="1:12" x14ac:dyDescent="0.25">
      <c r="A192" s="3"/>
      <c r="F192" s="2" t="e" cm="1">
        <f t="array" ref="F192">_xlfn.IFS(B192="Owner Surrender",E192,B192="Stray",E192+6,B192="Stray w/identification",E192+11,B192="Bite",E192+10,B192="Other",E192+30,B192="BAS",E192+56,B192="Seized",E192)</f>
        <v>#N/A</v>
      </c>
      <c r="H192" s="6">
        <f t="shared" si="9"/>
        <v>0</v>
      </c>
      <c r="I192" s="6" t="e">
        <f t="shared" si="5"/>
        <v>#N/A</v>
      </c>
      <c r="J192" s="2"/>
    </row>
    <row r="193" spans="1:12" x14ac:dyDescent="0.25">
      <c r="A193" s="3"/>
      <c r="F193" s="2" t="e" cm="1">
        <f t="array" ref="F193">_xlfn.IFS(B193="Owner Surrender",E193,B193="Stray",E193+6,B193="Stray w/identification",E193+11,B193="Bite",E193+10,B193="Other",E193+30,B193="BAS",E193+56,B193="Seized",E193)</f>
        <v>#N/A</v>
      </c>
      <c r="H193" s="6">
        <f t="shared" si="9"/>
        <v>0</v>
      </c>
      <c r="I193" s="6" t="e">
        <f t="shared" si="5"/>
        <v>#N/A</v>
      </c>
      <c r="J193" s="2"/>
      <c r="K193" s="2"/>
    </row>
    <row r="194" spans="1:12" x14ac:dyDescent="0.25">
      <c r="A194" s="3"/>
      <c r="F194" s="2" t="e" cm="1">
        <f t="array" ref="F194">_xlfn.IFS(B194="Owner Surrender",E194,B194="Stray",E194+6,B194="Stray w/identification",E194+11,B194="Bite",E194+10,B194="Other",E194+30,B194="BAS",E194+56,B194="Seized",E194)</f>
        <v>#N/A</v>
      </c>
      <c r="H194" s="6">
        <f t="shared" si="9"/>
        <v>0</v>
      </c>
      <c r="I194" s="6" t="e">
        <f t="shared" si="5"/>
        <v>#N/A</v>
      </c>
      <c r="J194" s="2"/>
      <c r="K194" s="2"/>
    </row>
    <row r="195" spans="1:12" x14ac:dyDescent="0.25">
      <c r="A195" s="3"/>
      <c r="F195" s="2" t="e" cm="1">
        <f t="array" ref="F195">_xlfn.IFS(B195="Owner Surrender",E195,B195="Stray",E195+6,B195="Stray w/identification",E195+11,B195="Bite",E195+10,B195="Other",E195+30,B195="BAS",E195+56,B195="Seized",E195)</f>
        <v>#N/A</v>
      </c>
      <c r="H195" s="6">
        <f t="shared" si="9"/>
        <v>0</v>
      </c>
      <c r="I195" s="6" t="e">
        <f t="shared" si="5"/>
        <v>#N/A</v>
      </c>
      <c r="J195" s="2"/>
    </row>
    <row r="196" spans="1:12" x14ac:dyDescent="0.25">
      <c r="A196" s="3"/>
      <c r="F196" s="2" t="e" cm="1">
        <f t="array" ref="F196">_xlfn.IFS(B196="Owner Surrender",E196,B196="Stray",E196+6,B196="Stray w/identification",E196+11,B196="Bite",E196+10,B196="Other",E196+30,B196="BAS",E196+56,B196="Seized",E196)</f>
        <v>#N/A</v>
      </c>
      <c r="J196" s="2"/>
      <c r="L196" s="2"/>
    </row>
  </sheetData>
  <mergeCells count="10">
    <mergeCell ref="H1:I1"/>
    <mergeCell ref="J1:J2"/>
    <mergeCell ref="K1:K2"/>
    <mergeCell ref="L1:L2"/>
    <mergeCell ref="A1:A2"/>
    <mergeCell ref="B1:B2"/>
    <mergeCell ref="C1:C2"/>
    <mergeCell ref="E1:E2"/>
    <mergeCell ref="F1:F2"/>
    <mergeCell ref="G1:G2"/>
  </mergeCells>
  <dataValidations count="3">
    <dataValidation type="list" allowBlank="1" showInputMessage="1" showErrorMessage="1" sqref="D1:D1048576" xr:uid="{EEF9A13F-BF7B-C54B-9B20-B827DAEE69F4}">
      <formula1>"0-6 months, 6-12 months, Adult, Senior"</formula1>
    </dataValidation>
    <dataValidation type="list" allowBlank="1" showInputMessage="1" showErrorMessage="1" sqref="J3:J202" xr:uid="{59572F2C-D2D9-2C42-BBB7-284CA38A2E2B}">
      <formula1>"Adopted, DOA, Euthanized, RTO, Shelter, Transferred, "</formula1>
    </dataValidation>
    <dataValidation type="list" allowBlank="1" showInputMessage="1" showErrorMessage="1" sqref="B3:B200" xr:uid="{498D21C9-70F2-B941-9A17-8F7DE69FE695}">
      <formula1>"BAS, Bite, Other, Owner Surrender, Seized, Stray, Stray w/identification"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88A0-E2A5-B84E-869D-CB86E3FAFA9B}">
  <sheetPr>
    <tabColor theme="8" tint="0.59999389629810485"/>
  </sheetPr>
  <dimension ref="A1:T926"/>
  <sheetViews>
    <sheetView zoomScaleNormal="100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E1" sqref="E1:E1048576"/>
    </sheetView>
  </sheetViews>
  <sheetFormatPr defaultColWidth="11" defaultRowHeight="15.75" x14ac:dyDescent="0.25"/>
  <cols>
    <col min="1" max="1" width="9.125" style="1" customWidth="1"/>
    <col min="2" max="2" width="21" style="2" customWidth="1"/>
    <col min="3" max="3" width="19.625" customWidth="1"/>
    <col min="4" max="4" width="19.875" customWidth="1"/>
    <col min="5" max="5" width="13.5" style="2" customWidth="1"/>
    <col min="6" max="6" width="12.5" style="2" customWidth="1"/>
    <col min="7" max="7" width="14.125" style="2" customWidth="1"/>
    <col min="8" max="8" width="13.5" style="6" customWidth="1"/>
    <col min="9" max="9" width="16.875" style="6" customWidth="1"/>
    <col min="10" max="10" width="19.125" customWidth="1"/>
    <col min="11" max="11" width="15.5" customWidth="1"/>
    <col min="12" max="12" width="16.625" customWidth="1"/>
    <col min="14" max="14" width="3.625" customWidth="1"/>
    <col min="15" max="15" width="19.125" customWidth="1"/>
    <col min="18" max="18" width="3.875" customWidth="1"/>
  </cols>
  <sheetData>
    <row r="1" spans="1:20" x14ac:dyDescent="0.25">
      <c r="A1" s="32" t="s">
        <v>6</v>
      </c>
      <c r="B1" s="34" t="s">
        <v>43</v>
      </c>
      <c r="C1" s="32" t="s">
        <v>1</v>
      </c>
      <c r="D1" s="8"/>
      <c r="E1" s="34" t="s">
        <v>2</v>
      </c>
      <c r="F1" s="34" t="s">
        <v>177</v>
      </c>
      <c r="G1" s="34" t="s">
        <v>3</v>
      </c>
      <c r="H1" s="31" t="s">
        <v>179</v>
      </c>
      <c r="I1" s="31"/>
      <c r="J1" s="32" t="s">
        <v>4</v>
      </c>
      <c r="K1" s="32" t="s">
        <v>12</v>
      </c>
      <c r="L1" s="33" t="s">
        <v>5</v>
      </c>
    </row>
    <row r="2" spans="1:20" x14ac:dyDescent="0.25">
      <c r="A2" s="32"/>
      <c r="B2" s="34"/>
      <c r="C2" s="32"/>
      <c r="D2" s="8" t="s">
        <v>0</v>
      </c>
      <c r="E2" s="34"/>
      <c r="F2" s="34"/>
      <c r="G2" s="34"/>
      <c r="H2" s="7" t="s">
        <v>202</v>
      </c>
      <c r="I2" s="7" t="s">
        <v>203</v>
      </c>
      <c r="J2" s="32"/>
      <c r="K2" s="32"/>
      <c r="L2" s="33"/>
    </row>
    <row r="3" spans="1:20" x14ac:dyDescent="0.25">
      <c r="A3" s="3">
        <v>36876</v>
      </c>
      <c r="B3" s="2" t="s">
        <v>36</v>
      </c>
      <c r="C3" t="s">
        <v>7</v>
      </c>
      <c r="D3" t="s">
        <v>208</v>
      </c>
      <c r="E3" s="2">
        <v>45729</v>
      </c>
      <c r="F3" s="2" cm="1">
        <f t="array" ref="F3">_xlfn.IFS(B3="Owner Surrender",E3,B3="Stray",E3+6,B3="Stray w/identification",E3+11,B3="Bite",E3+10,B3="Other",E3+30,B3="BAS",E3+56,B3="Seized",E3)</f>
        <v>45729</v>
      </c>
      <c r="G3" s="2">
        <v>45733</v>
      </c>
      <c r="H3" s="6">
        <f t="shared" ref="H3:H25" si="0">+G3-E3</f>
        <v>4</v>
      </c>
      <c r="I3" s="6">
        <f t="shared" ref="I3:I25" si="1">G3-F3</f>
        <v>4</v>
      </c>
      <c r="J3" s="2" t="s">
        <v>31</v>
      </c>
      <c r="K3" t="s">
        <v>322</v>
      </c>
      <c r="L3" t="s">
        <v>323</v>
      </c>
    </row>
    <row r="4" spans="1:20" ht="18.75" x14ac:dyDescent="0.3">
      <c r="A4" s="3">
        <v>39012</v>
      </c>
      <c r="B4" s="2" t="s">
        <v>36</v>
      </c>
      <c r="C4" t="s">
        <v>7</v>
      </c>
      <c r="D4" t="s">
        <v>208</v>
      </c>
      <c r="E4" s="2">
        <v>45605</v>
      </c>
      <c r="F4" s="2" cm="1">
        <f t="array" ref="F4">_xlfn.IFS(B4="Owner Surrender",E4,B4="Stray",E4+6,B4="Stray w/identification",E4+11,B4="Bite",E4+10,B4="Other",E4+30,B4="BAS",E4+56,B4="Seized",E4)</f>
        <v>45605</v>
      </c>
      <c r="G4" s="2">
        <v>45679</v>
      </c>
      <c r="H4" s="6">
        <f t="shared" si="0"/>
        <v>74</v>
      </c>
      <c r="I4" s="6">
        <f t="shared" si="1"/>
        <v>74</v>
      </c>
      <c r="J4" s="2" t="s">
        <v>18</v>
      </c>
      <c r="K4" t="s">
        <v>233</v>
      </c>
      <c r="N4" s="11" t="s">
        <v>11</v>
      </c>
      <c r="O4" s="11"/>
      <c r="P4" s="11">
        <f>SUM(P5:P11)</f>
        <v>41</v>
      </c>
      <c r="Q4" s="12"/>
      <c r="R4" s="11" t="s">
        <v>11</v>
      </c>
      <c r="S4" s="11"/>
      <c r="T4" s="11"/>
    </row>
    <row r="5" spans="1:20" x14ac:dyDescent="0.25">
      <c r="A5" s="3">
        <v>39368</v>
      </c>
      <c r="B5" s="2" t="s">
        <v>36</v>
      </c>
      <c r="C5" t="s">
        <v>7</v>
      </c>
      <c r="D5" t="s">
        <v>209</v>
      </c>
      <c r="E5" s="2">
        <v>45653</v>
      </c>
      <c r="F5" s="2" cm="1">
        <f t="array" ref="F5">_xlfn.IFS(B5="Owner Surrender",E5,B5="Stray",E5+6,B5="Stray w/identification",E5+11,B5="Bite",E5+10,B5="Other",E5+30,B5="BAS",E5+56,B5="Seized",E5)</f>
        <v>45653</v>
      </c>
      <c r="G5" s="2">
        <v>45699</v>
      </c>
      <c r="H5" s="6">
        <f t="shared" si="0"/>
        <v>46</v>
      </c>
      <c r="I5" s="6">
        <f t="shared" si="1"/>
        <v>46</v>
      </c>
      <c r="J5" s="2" t="s">
        <v>11</v>
      </c>
      <c r="K5" s="2"/>
      <c r="L5" s="2"/>
      <c r="O5" s="10" t="s">
        <v>36</v>
      </c>
      <c r="P5" s="10">
        <f>COUNTIFS($J:$J,"Adopted",$B:$B,"Owner Surrender")</f>
        <v>18</v>
      </c>
      <c r="S5" s="10" t="s">
        <v>209</v>
      </c>
      <c r="T5" s="10">
        <f>COUNTIFS(J:J,"Adopted",D:D,"0-6 months")</f>
        <v>25</v>
      </c>
    </row>
    <row r="6" spans="1:20" x14ac:dyDescent="0.25">
      <c r="A6" s="3">
        <v>39417</v>
      </c>
      <c r="B6" s="2" t="s">
        <v>38</v>
      </c>
      <c r="C6" t="s">
        <v>7</v>
      </c>
      <c r="D6" t="s">
        <v>208</v>
      </c>
      <c r="E6" s="2">
        <v>45658</v>
      </c>
      <c r="F6" s="2" cm="1">
        <f t="array" ref="F6">_xlfn.IFS(B6="Owner Surrender",E6,B6="Stray",E6+6,B6="Stray w/identification",E6+11,B6="Bite",E6+10,B6="Other",E6+30,B6="BAS",E6+56,B6="Seized",E6)</f>
        <v>45664</v>
      </c>
      <c r="G6" s="2">
        <v>45665</v>
      </c>
      <c r="H6" s="6">
        <f t="shared" si="0"/>
        <v>7</v>
      </c>
      <c r="I6" s="6">
        <f t="shared" si="1"/>
        <v>1</v>
      </c>
      <c r="J6" s="2" t="s">
        <v>31</v>
      </c>
      <c r="O6" s="10" t="s">
        <v>38</v>
      </c>
      <c r="P6" s="10">
        <f>COUNTIFS($J:$J,"Adopted",$B:$B,"Stray")</f>
        <v>23</v>
      </c>
      <c r="S6" s="10" t="s">
        <v>210</v>
      </c>
      <c r="T6" s="10">
        <f>COUNTIFS(J:J,"Adopted",D:D,"6-12 months")</f>
        <v>2</v>
      </c>
    </row>
    <row r="7" spans="1:20" x14ac:dyDescent="0.25">
      <c r="A7" s="3">
        <v>39418</v>
      </c>
      <c r="B7" s="2" t="s">
        <v>36</v>
      </c>
      <c r="C7" t="s">
        <v>7</v>
      </c>
      <c r="D7" t="s">
        <v>208</v>
      </c>
      <c r="E7" s="2">
        <v>45659</v>
      </c>
      <c r="F7" s="2" cm="1">
        <f t="array" ref="F7">_xlfn.IFS(B7="Owner Surrender",E7,B7="Stray",E7+6,B7="Stray w/identification",E7+11,B7="Bite",E7+10,B7="Other",E7+30,B7="BAS",E7+56,B7="Seized",E7)</f>
        <v>45659</v>
      </c>
      <c r="G7" s="2">
        <v>45673</v>
      </c>
      <c r="H7" s="6">
        <f t="shared" si="0"/>
        <v>14</v>
      </c>
      <c r="I7" s="6">
        <f t="shared" si="1"/>
        <v>14</v>
      </c>
      <c r="J7" s="2" t="s">
        <v>31</v>
      </c>
      <c r="K7" t="s">
        <v>213</v>
      </c>
      <c r="O7" s="10" t="s">
        <v>204</v>
      </c>
      <c r="P7" s="10">
        <f>COUNTIFS($J:$J,"Adopted",$B:$B,"Stray w/identification")</f>
        <v>0</v>
      </c>
      <c r="S7" s="10" t="s">
        <v>208</v>
      </c>
      <c r="T7" s="10">
        <f>COUNTIFS(J:J,"Adopted",D:D,"Adult")</f>
        <v>14</v>
      </c>
    </row>
    <row r="8" spans="1:20" x14ac:dyDescent="0.25">
      <c r="A8" s="3">
        <v>39419</v>
      </c>
      <c r="B8" s="2" t="s">
        <v>36</v>
      </c>
      <c r="C8" t="s">
        <v>7</v>
      </c>
      <c r="D8" t="s">
        <v>209</v>
      </c>
      <c r="E8" s="2">
        <v>45659</v>
      </c>
      <c r="F8" s="2" cm="1">
        <f t="array" ref="F8">_xlfn.IFS(B8="Owner Surrender",E8,B8="Stray",E8+6,B8="Stray w/identification",E8+11,B8="Bite",E8+10,B8="Other",E8+30,B8="BAS",E8+56,B8="Seized",E8)</f>
        <v>45659</v>
      </c>
      <c r="G8" s="2">
        <v>45673</v>
      </c>
      <c r="H8" s="6">
        <f t="shared" si="0"/>
        <v>14</v>
      </c>
      <c r="I8" s="6">
        <f t="shared" si="1"/>
        <v>14</v>
      </c>
      <c r="J8" s="2" t="s">
        <v>31</v>
      </c>
      <c r="K8" s="2"/>
      <c r="O8" s="10" t="s">
        <v>53</v>
      </c>
      <c r="P8" s="10">
        <f>COUNTIFS($J:$J,"Adopted",$B:$B,"Seized")</f>
        <v>0</v>
      </c>
      <c r="S8" s="10" t="s">
        <v>211</v>
      </c>
      <c r="T8" s="10">
        <f>COUNTIFS(J:J,"Adopted",D:D,"Senior")</f>
        <v>0</v>
      </c>
    </row>
    <row r="9" spans="1:20" ht="18.75" x14ac:dyDescent="0.3">
      <c r="A9" s="3">
        <v>39420</v>
      </c>
      <c r="B9" s="2" t="s">
        <v>38</v>
      </c>
      <c r="C9" t="s">
        <v>10</v>
      </c>
      <c r="D9" t="s">
        <v>208</v>
      </c>
      <c r="E9" s="2">
        <v>45659</v>
      </c>
      <c r="F9" s="2" cm="1">
        <f t="array" ref="F9">_xlfn.IFS(B9="Owner Surrender",E9,B9="Stray",E9+6,B9="Stray w/identification",E9+11,B9="Bite",E9+10,B9="Other",E9+30,B9="BAS",E9+56,B9="Seized",E9)</f>
        <v>45665</v>
      </c>
      <c r="G9" s="2">
        <v>45667</v>
      </c>
      <c r="H9" s="6">
        <f t="shared" si="0"/>
        <v>8</v>
      </c>
      <c r="I9" s="6">
        <f t="shared" si="1"/>
        <v>2</v>
      </c>
      <c r="J9" s="2" t="s">
        <v>31</v>
      </c>
      <c r="O9" s="10" t="s">
        <v>61</v>
      </c>
      <c r="P9" s="10">
        <f>COUNTIFS($J:$J,"Adopted",$B:$B,"Other")</f>
        <v>0</v>
      </c>
      <c r="R9" s="11" t="s">
        <v>18</v>
      </c>
      <c r="S9" s="11"/>
      <c r="T9" s="11"/>
    </row>
    <row r="10" spans="1:20" x14ac:dyDescent="0.25">
      <c r="A10" s="3">
        <v>39423</v>
      </c>
      <c r="B10" s="2" t="s">
        <v>38</v>
      </c>
      <c r="C10" t="s">
        <v>7</v>
      </c>
      <c r="D10" t="s">
        <v>208</v>
      </c>
      <c r="E10" s="2">
        <v>45660</v>
      </c>
      <c r="F10" s="2" cm="1">
        <f t="array" ref="F10">_xlfn.IFS(B10="Owner Surrender",E10,B10="Stray",E10+6,B10="Stray w/identification",E10+11,B10="Bite",E10+10,B10="Other",E10+30,B10="BAS",E10+56,B10="Seized",E10)</f>
        <v>45666</v>
      </c>
      <c r="G10" s="2">
        <v>45680</v>
      </c>
      <c r="H10" s="6">
        <f t="shared" si="0"/>
        <v>20</v>
      </c>
      <c r="I10" s="6">
        <f t="shared" si="1"/>
        <v>14</v>
      </c>
      <c r="J10" s="2" t="s">
        <v>18</v>
      </c>
      <c r="K10" t="s">
        <v>225</v>
      </c>
      <c r="O10" s="10" t="s">
        <v>205</v>
      </c>
      <c r="P10" s="10">
        <f>COUNTIFS($J:$J,"Adopted",$B:$B,"BAS")</f>
        <v>0</v>
      </c>
      <c r="S10" s="10" t="s">
        <v>209</v>
      </c>
      <c r="T10" s="10">
        <f>COUNTIFS(J:J,"Transferred",D:D,"0-6 months")</f>
        <v>99</v>
      </c>
    </row>
    <row r="11" spans="1:20" x14ac:dyDescent="0.25">
      <c r="A11" s="3">
        <v>39429</v>
      </c>
      <c r="B11" s="2" t="s">
        <v>36</v>
      </c>
      <c r="C11" t="s">
        <v>7</v>
      </c>
      <c r="D11" t="s">
        <v>208</v>
      </c>
      <c r="E11" s="2">
        <v>45660</v>
      </c>
      <c r="F11" s="2" cm="1">
        <f t="array" ref="F11">_xlfn.IFS(B11="Owner Surrender",E11,B11="Stray",E11+6,B11="Stray w/identification",E11+11,B11="Bite",E11+10,B11="Other",E11+30,B11="BAS",E11+56,B11="Seized",E11)</f>
        <v>45660</v>
      </c>
      <c r="G11" s="2">
        <v>45664</v>
      </c>
      <c r="H11" s="6">
        <f t="shared" si="0"/>
        <v>4</v>
      </c>
      <c r="I11" s="6">
        <f t="shared" si="1"/>
        <v>4</v>
      </c>
      <c r="J11" s="2" t="s">
        <v>18</v>
      </c>
      <c r="O11" s="10" t="s">
        <v>42</v>
      </c>
      <c r="P11" s="10">
        <f>COUNTIFS($J:$J,"Adopted",$B:$B,"Bite")</f>
        <v>0</v>
      </c>
      <c r="S11" s="10" t="s">
        <v>210</v>
      </c>
      <c r="T11" s="10">
        <f>COUNTIFS(J:J,"Transferred",D:D,"6-12 months")</f>
        <v>14</v>
      </c>
    </row>
    <row r="12" spans="1:20" ht="18.75" x14ac:dyDescent="0.3">
      <c r="A12" s="3">
        <v>39433</v>
      </c>
      <c r="B12" s="2" t="s">
        <v>38</v>
      </c>
      <c r="C12" t="s">
        <v>7</v>
      </c>
      <c r="D12" t="s">
        <v>208</v>
      </c>
      <c r="E12" s="2">
        <v>45661</v>
      </c>
      <c r="F12" s="2" cm="1">
        <f t="array" ref="F12">_xlfn.IFS(B12="Owner Surrender",E12,B12="Stray",E12+6,B12="Stray w/identification",E12+11,B12="Bite",E12+10,B12="Other",E12+30,B12="BAS",E12+56,B12="Seized",E12)</f>
        <v>45667</v>
      </c>
      <c r="G12" s="2">
        <v>45667</v>
      </c>
      <c r="H12" s="6">
        <f t="shared" si="0"/>
        <v>6</v>
      </c>
      <c r="I12" s="6">
        <f t="shared" si="1"/>
        <v>0</v>
      </c>
      <c r="J12" s="2" t="s">
        <v>31</v>
      </c>
      <c r="L12" t="s">
        <v>214</v>
      </c>
      <c r="N12" s="11" t="s">
        <v>18</v>
      </c>
      <c r="O12" s="11"/>
      <c r="P12" s="11">
        <f>SUM(P13:P19)</f>
        <v>172</v>
      </c>
      <c r="S12" s="10" t="s">
        <v>208</v>
      </c>
      <c r="T12" s="10">
        <f>COUNTIFS(J:J,"Transferred",D:D,"Adult")</f>
        <v>59</v>
      </c>
    </row>
    <row r="13" spans="1:20" x14ac:dyDescent="0.25">
      <c r="A13" s="3">
        <v>39436</v>
      </c>
      <c r="B13" s="2" t="s">
        <v>38</v>
      </c>
      <c r="C13" t="s">
        <v>7</v>
      </c>
      <c r="D13" t="s">
        <v>209</v>
      </c>
      <c r="E13" s="2">
        <v>45661</v>
      </c>
      <c r="F13" s="2" cm="1">
        <f t="array" ref="F13">_xlfn.IFS(B13="Owner Surrender",E13,B13="Stray",E13+6,B13="Stray w/identification",E13+11,B13="Bite",E13+10,B13="Other",E13+30,B13="BAS",E13+56,B13="Seized",E13)</f>
        <v>45667</v>
      </c>
      <c r="G13" s="2">
        <v>45679</v>
      </c>
      <c r="H13" s="6">
        <f t="shared" si="0"/>
        <v>18</v>
      </c>
      <c r="I13" s="6">
        <f t="shared" si="1"/>
        <v>12</v>
      </c>
      <c r="J13" s="2" t="s">
        <v>18</v>
      </c>
      <c r="K13" t="s">
        <v>234</v>
      </c>
      <c r="O13" s="10" t="s">
        <v>36</v>
      </c>
      <c r="P13" s="10">
        <f>COUNTIFS(J:J,"Transferred",B:B,"Owner Surrender")</f>
        <v>85</v>
      </c>
      <c r="S13" s="10" t="s">
        <v>211</v>
      </c>
      <c r="T13" s="10">
        <f>COUNTIFS(J:J,"Transferred",D:D,"Senior")</f>
        <v>0</v>
      </c>
    </row>
    <row r="14" spans="1:20" ht="18.75" x14ac:dyDescent="0.3">
      <c r="A14" s="3">
        <v>39437</v>
      </c>
      <c r="B14" s="2" t="s">
        <v>36</v>
      </c>
      <c r="C14" t="s">
        <v>7</v>
      </c>
      <c r="D14" t="s">
        <v>208</v>
      </c>
      <c r="E14" s="2">
        <v>45662</v>
      </c>
      <c r="F14" s="2" cm="1">
        <f t="array" ref="F14">_xlfn.IFS(B14="Owner Surrender",E14,B14="Stray",E14+6,B14="Stray w/identification",E14+11,B14="Bite",E14+10,B14="Other",E14+30,B14="BAS",E14+56,B14="Seized",E14)</f>
        <v>45662</v>
      </c>
      <c r="G14" s="2">
        <v>45665</v>
      </c>
      <c r="H14" s="6">
        <f t="shared" si="0"/>
        <v>3</v>
      </c>
      <c r="I14" s="6">
        <f t="shared" si="1"/>
        <v>3</v>
      </c>
      <c r="J14" s="2" t="s">
        <v>31</v>
      </c>
      <c r="K14" s="2"/>
      <c r="L14" s="2" t="s">
        <v>24</v>
      </c>
      <c r="O14" s="10" t="s">
        <v>38</v>
      </c>
      <c r="P14" s="10">
        <f>COUNTIFS(J:J,"Transferred",B:B,"Stray")</f>
        <v>82</v>
      </c>
      <c r="R14" s="11" t="s">
        <v>31</v>
      </c>
      <c r="S14" s="11"/>
      <c r="T14" s="11"/>
    </row>
    <row r="15" spans="1:20" x14ac:dyDescent="0.25">
      <c r="A15" s="3">
        <v>39439</v>
      </c>
      <c r="B15" s="2" t="s">
        <v>38</v>
      </c>
      <c r="C15" t="s">
        <v>7</v>
      </c>
      <c r="D15" t="s">
        <v>210</v>
      </c>
      <c r="E15" s="2">
        <v>45662</v>
      </c>
      <c r="F15" s="2" cm="1">
        <f t="array" ref="F15">_xlfn.IFS(B15="Owner Surrender",E15,B15="Stray",E15+6,B15="Stray w/identification",E15+11,B15="Bite",E15+10,B15="Other",E15+30,B15="BAS",E15+56,B15="Seized",E15)</f>
        <v>45668</v>
      </c>
      <c r="G15" s="2">
        <v>45669</v>
      </c>
      <c r="H15" s="6">
        <f t="shared" si="0"/>
        <v>7</v>
      </c>
      <c r="I15" s="6">
        <f t="shared" si="1"/>
        <v>1</v>
      </c>
      <c r="J15" s="2" t="s">
        <v>31</v>
      </c>
      <c r="O15" s="10" t="s">
        <v>204</v>
      </c>
      <c r="P15" s="10">
        <f>COUNTIFS(J:J,"Transferred",B:B,"Stray w/identification")</f>
        <v>1</v>
      </c>
      <c r="S15" s="10" t="s">
        <v>209</v>
      </c>
      <c r="T15" s="10">
        <f>COUNTIFS(J:J,"Euthanized",D:D,"0-6 months")</f>
        <v>329</v>
      </c>
    </row>
    <row r="16" spans="1:20" x14ac:dyDescent="0.25">
      <c r="A16" s="3">
        <v>39440</v>
      </c>
      <c r="B16" s="2" t="s">
        <v>38</v>
      </c>
      <c r="C16" t="s">
        <v>7</v>
      </c>
      <c r="D16" t="s">
        <v>209</v>
      </c>
      <c r="E16" s="2">
        <v>45662</v>
      </c>
      <c r="F16" s="2" cm="1">
        <f t="array" ref="F16">_xlfn.IFS(B16="Owner Surrender",E16,B16="Stray",E16+6,B16="Stray w/identification",E16+11,B16="Bite",E16+10,B16="Other",E16+30,B16="BAS",E16+56,B16="Seized",E16)</f>
        <v>45668</v>
      </c>
      <c r="G16" s="2">
        <v>45669</v>
      </c>
      <c r="H16" s="6">
        <f t="shared" si="0"/>
        <v>7</v>
      </c>
      <c r="I16" s="6">
        <f t="shared" si="1"/>
        <v>1</v>
      </c>
      <c r="J16" s="2" t="s">
        <v>31</v>
      </c>
      <c r="O16" s="10" t="s">
        <v>53</v>
      </c>
      <c r="P16" s="10">
        <f>COUNTIFS(J:J,"Transferred",B:B,"Seized")</f>
        <v>2</v>
      </c>
      <c r="S16" s="10" t="s">
        <v>210</v>
      </c>
      <c r="T16" s="10">
        <f>COUNTIFS(J:J,"Euthanized",D:D,"6-12 months")</f>
        <v>29</v>
      </c>
    </row>
    <row r="17" spans="1:20" x14ac:dyDescent="0.25">
      <c r="A17" s="3">
        <v>39441</v>
      </c>
      <c r="B17" s="2" t="s">
        <v>38</v>
      </c>
      <c r="C17" t="s">
        <v>7</v>
      </c>
      <c r="D17" t="s">
        <v>209</v>
      </c>
      <c r="E17" s="2">
        <v>45662</v>
      </c>
      <c r="F17" s="2" cm="1">
        <f t="array" ref="F17">_xlfn.IFS(B17="Owner Surrender",E17,B17="Stray",E17+6,B17="Stray w/identification",E17+11,B17="Bite",E17+10,B17="Other",E17+30,B17="BAS",E17+56,B17="Seized",E17)</f>
        <v>45668</v>
      </c>
      <c r="G17" s="2">
        <v>45669</v>
      </c>
      <c r="H17" s="6">
        <f t="shared" si="0"/>
        <v>7</v>
      </c>
      <c r="I17" s="6">
        <f t="shared" si="1"/>
        <v>1</v>
      </c>
      <c r="J17" s="2" t="s">
        <v>31</v>
      </c>
      <c r="O17" s="10" t="s">
        <v>61</v>
      </c>
      <c r="P17" s="10">
        <f>COUNTIFS(J:J,"Transferred",B:B,"Other")</f>
        <v>2</v>
      </c>
      <c r="S17" s="10" t="s">
        <v>208</v>
      </c>
      <c r="T17" s="10">
        <f>COUNTIFS(J:J,"Euthanized",D:D,"Adult")</f>
        <v>227</v>
      </c>
    </row>
    <row r="18" spans="1:20" x14ac:dyDescent="0.25">
      <c r="A18" s="3">
        <v>39442</v>
      </c>
      <c r="B18" s="2" t="s">
        <v>38</v>
      </c>
      <c r="C18" t="s">
        <v>7</v>
      </c>
      <c r="D18" t="s">
        <v>208</v>
      </c>
      <c r="E18" s="2">
        <v>45662</v>
      </c>
      <c r="F18" s="2" cm="1">
        <f t="array" ref="F18">_xlfn.IFS(B18="Owner Surrender",E18,B18="Stray",E18+6,B18="Stray w/identification",E18+11,B18="Bite",E18+10,B18="Other",E18+30,B18="BAS",E18+56,B18="Seized",E18)</f>
        <v>45668</v>
      </c>
      <c r="G18" s="2">
        <v>45679</v>
      </c>
      <c r="H18" s="6">
        <f t="shared" si="0"/>
        <v>17</v>
      </c>
      <c r="I18" s="6">
        <f t="shared" si="1"/>
        <v>11</v>
      </c>
      <c r="J18" s="2" t="s">
        <v>18</v>
      </c>
      <c r="K18" t="s">
        <v>226</v>
      </c>
      <c r="O18" s="10" t="s">
        <v>205</v>
      </c>
      <c r="P18" s="10">
        <f>COUNTIFS(J:J,"Transferred",B:B,"BAS")</f>
        <v>0</v>
      </c>
      <c r="S18" s="10" t="s">
        <v>211</v>
      </c>
      <c r="T18" s="10">
        <f>COUNTIFS(J:J,"Euthanized",D:D,"Senior")</f>
        <v>14</v>
      </c>
    </row>
    <row r="19" spans="1:20" ht="18.75" x14ac:dyDescent="0.3">
      <c r="A19" s="3">
        <v>39445</v>
      </c>
      <c r="B19" s="2" t="s">
        <v>38</v>
      </c>
      <c r="C19" t="s">
        <v>10</v>
      </c>
      <c r="D19" t="s">
        <v>208</v>
      </c>
      <c r="E19" s="2">
        <v>45664</v>
      </c>
      <c r="F19" s="2" cm="1">
        <f t="array" ref="F19">_xlfn.IFS(B19="Owner Surrender",E19,B19="Stray",E19+6,B19="Stray w/identification",E19+11,B19="Bite",E19+10,B19="Other",E19+30,B19="BAS",E19+56,B19="Seized",E19)</f>
        <v>45670</v>
      </c>
      <c r="G19" s="2">
        <v>45665</v>
      </c>
      <c r="H19" s="6">
        <f t="shared" si="0"/>
        <v>1</v>
      </c>
      <c r="I19" s="6">
        <f t="shared" si="1"/>
        <v>-5</v>
      </c>
      <c r="J19" s="2" t="s">
        <v>28</v>
      </c>
      <c r="K19" s="2"/>
      <c r="L19" t="s">
        <v>112</v>
      </c>
      <c r="O19" s="10" t="s">
        <v>42</v>
      </c>
      <c r="P19" s="10">
        <f>COUNTIFS(J:J,"Transferred",B:B,"Bite")</f>
        <v>0</v>
      </c>
      <c r="R19" s="11" t="s">
        <v>28</v>
      </c>
      <c r="S19" s="11"/>
      <c r="T19" s="11"/>
    </row>
    <row r="20" spans="1:20" ht="18.75" x14ac:dyDescent="0.3">
      <c r="A20" s="3">
        <v>39446</v>
      </c>
      <c r="B20" s="2" t="s">
        <v>36</v>
      </c>
      <c r="C20" t="s">
        <v>15</v>
      </c>
      <c r="D20" t="s">
        <v>208</v>
      </c>
      <c r="E20" s="2">
        <v>45664</v>
      </c>
      <c r="F20" s="2" cm="1">
        <f t="array" ref="F20">_xlfn.IFS(B20="Owner Surrender",E20,B20="Stray",E20+6,B20="Stray w/identification",E20+11,B20="Bite",E20+10,B20="Other",E20+30,B20="BAS",E20+56,B20="Seized",E20)</f>
        <v>45664</v>
      </c>
      <c r="G20" s="2">
        <v>45667</v>
      </c>
      <c r="H20" s="6">
        <f t="shared" si="0"/>
        <v>3</v>
      </c>
      <c r="I20" s="6">
        <f t="shared" si="1"/>
        <v>3</v>
      </c>
      <c r="J20" s="2" t="s">
        <v>31</v>
      </c>
      <c r="L20" t="s">
        <v>215</v>
      </c>
      <c r="N20" s="11" t="s">
        <v>31</v>
      </c>
      <c r="O20" s="11"/>
      <c r="P20" s="11">
        <f>SUM(P21:P27)</f>
        <v>599</v>
      </c>
      <c r="S20" s="10" t="s">
        <v>209</v>
      </c>
      <c r="T20" s="10">
        <f>COUNTIFS(J:J,"DOA",D:D,"0-6 months")</f>
        <v>10</v>
      </c>
    </row>
    <row r="21" spans="1:20" x14ac:dyDescent="0.25">
      <c r="A21" s="3">
        <v>39451</v>
      </c>
      <c r="B21" s="2" t="s">
        <v>36</v>
      </c>
      <c r="C21" t="s">
        <v>7</v>
      </c>
      <c r="D21" t="s">
        <v>208</v>
      </c>
      <c r="E21" s="2">
        <v>45665</v>
      </c>
      <c r="F21" s="2" cm="1">
        <f t="array" ref="F21">_xlfn.IFS(B21="Owner Surrender",E21,B21="Stray",E21+6,B21="Stray w/identification",E21+11,B21="Bite",E21+10,B21="Other",E21+30,B21="BAS",E21+56,B21="Seized",E21)</f>
        <v>45665</v>
      </c>
      <c r="G21" s="2">
        <v>45673</v>
      </c>
      <c r="H21" s="6">
        <f t="shared" si="0"/>
        <v>8</v>
      </c>
      <c r="I21" s="6">
        <f t="shared" si="1"/>
        <v>8</v>
      </c>
      <c r="J21" s="2" t="s">
        <v>18</v>
      </c>
      <c r="K21" s="2" t="s">
        <v>227</v>
      </c>
      <c r="L21" t="s">
        <v>228</v>
      </c>
      <c r="O21" s="10" t="s">
        <v>36</v>
      </c>
      <c r="P21" s="10">
        <f>COUNTIFS(J:J,"Euthanized",B:B,"Owner Surrender")</f>
        <v>259</v>
      </c>
      <c r="S21" s="10" t="s">
        <v>210</v>
      </c>
      <c r="T21" s="10">
        <f>COUNTIFS(J:J,"DOA",D:D,"6-12 months")</f>
        <v>0</v>
      </c>
    </row>
    <row r="22" spans="1:20" x14ac:dyDescent="0.25">
      <c r="A22" s="3">
        <v>39452</v>
      </c>
      <c r="B22" s="2" t="s">
        <v>38</v>
      </c>
      <c r="C22" t="s">
        <v>7</v>
      </c>
      <c r="D22" t="s">
        <v>208</v>
      </c>
      <c r="E22" s="2">
        <v>45665</v>
      </c>
      <c r="F22" s="2" cm="1">
        <f t="array" ref="F22">_xlfn.IFS(B22="Owner Surrender",E22,B22="Stray",E22+6,B22="Stray w/identification",E22+11,B22="Bite",E22+10,B22="Other",E22+30,B22="BAS",E22+56,B22="Seized",E22)</f>
        <v>45671</v>
      </c>
      <c r="G22" s="2">
        <v>45679</v>
      </c>
      <c r="H22" s="6">
        <f t="shared" si="0"/>
        <v>14</v>
      </c>
      <c r="I22" s="6">
        <f t="shared" si="1"/>
        <v>8</v>
      </c>
      <c r="J22" s="2" t="s">
        <v>18</v>
      </c>
      <c r="K22" s="2"/>
      <c r="O22" s="10" t="s">
        <v>38</v>
      </c>
      <c r="P22" s="10">
        <f>COUNTIFS(J:J,"Euthanized",B:B,"Stray")</f>
        <v>313</v>
      </c>
      <c r="S22" s="10" t="s">
        <v>208</v>
      </c>
      <c r="T22" s="10">
        <f>COUNTIFS(J:J,"DOA",D:D,"Adult")</f>
        <v>2</v>
      </c>
    </row>
    <row r="23" spans="1:20" x14ac:dyDescent="0.25">
      <c r="A23" s="3">
        <v>39465</v>
      </c>
      <c r="B23" s="2" t="s">
        <v>36</v>
      </c>
      <c r="C23" t="s">
        <v>7</v>
      </c>
      <c r="D23" t="s">
        <v>211</v>
      </c>
      <c r="E23" s="2">
        <v>45670</v>
      </c>
      <c r="F23" s="2" cm="1">
        <f t="array" ref="F23">_xlfn.IFS(B23="Owner Surrender",E23,B23="Stray",E23+6,B23="Stray w/identification",E23+11,B23="Bite",E23+10,B23="Other",E23+30,B23="BAS",E23+56,B23="Seized",E23)</f>
        <v>45670</v>
      </c>
      <c r="G23" s="2">
        <v>45670</v>
      </c>
      <c r="H23" s="6">
        <f t="shared" si="0"/>
        <v>0</v>
      </c>
      <c r="I23" s="6">
        <f t="shared" si="1"/>
        <v>0</v>
      </c>
      <c r="J23" s="2" t="s">
        <v>31</v>
      </c>
      <c r="L23" t="s">
        <v>221</v>
      </c>
      <c r="O23" s="10" t="s">
        <v>204</v>
      </c>
      <c r="P23" s="10">
        <f>COUNTIFS(J:J,"Euthanized",B:B,"Stray w/identification")</f>
        <v>4</v>
      </c>
      <c r="S23" s="10" t="s">
        <v>211</v>
      </c>
      <c r="T23" s="10">
        <f>COUNTIFS(J:J,"DOA",D:D,"Senior")</f>
        <v>0</v>
      </c>
    </row>
    <row r="24" spans="1:20" ht="18.75" x14ac:dyDescent="0.3">
      <c r="A24" s="3">
        <v>39466</v>
      </c>
      <c r="B24" s="2" t="s">
        <v>36</v>
      </c>
      <c r="C24" t="s">
        <v>15</v>
      </c>
      <c r="D24" t="s">
        <v>208</v>
      </c>
      <c r="E24" s="2">
        <v>45670</v>
      </c>
      <c r="F24" s="2" cm="1">
        <f t="array" ref="F24">_xlfn.IFS(B24="Owner Surrender",E24,B24="Stray",E24+6,B24="Stray w/identification",E24+11,B24="Bite",E24+10,B24="Other",E24+30,B24="BAS",E24+56,B24="Seized",E24)</f>
        <v>45670</v>
      </c>
      <c r="G24" s="2">
        <v>45673</v>
      </c>
      <c r="H24" s="6">
        <f t="shared" si="0"/>
        <v>3</v>
      </c>
      <c r="I24" s="6">
        <f t="shared" si="1"/>
        <v>3</v>
      </c>
      <c r="J24" s="2" t="s">
        <v>31</v>
      </c>
      <c r="O24" s="10" t="s">
        <v>53</v>
      </c>
      <c r="P24" s="10">
        <f>COUNTIFS(J:J,"Euthanized",B:B,"Seized")</f>
        <v>8</v>
      </c>
      <c r="R24" s="11" t="s">
        <v>206</v>
      </c>
      <c r="S24" s="11"/>
      <c r="T24" s="11"/>
    </row>
    <row r="25" spans="1:20" x14ac:dyDescent="0.25">
      <c r="A25" s="3">
        <v>39467</v>
      </c>
      <c r="B25" s="2" t="s">
        <v>36</v>
      </c>
      <c r="C25" t="s">
        <v>7</v>
      </c>
      <c r="D25" t="s">
        <v>208</v>
      </c>
      <c r="E25" s="2">
        <v>45670</v>
      </c>
      <c r="F25" s="2" cm="1">
        <f t="array" ref="F25">_xlfn.IFS(B25="Owner Surrender",E25,B25="Stray",E25+6,B25="Stray w/identification",E25+11,B25="Bite",E25+10,B25="Other",E25+30,B25="BAS",E25+56,B25="Seized",E25)</f>
        <v>45670</v>
      </c>
      <c r="G25" s="2">
        <v>45679</v>
      </c>
      <c r="H25" s="6">
        <f t="shared" si="0"/>
        <v>9</v>
      </c>
      <c r="I25" s="6">
        <f t="shared" si="1"/>
        <v>9</v>
      </c>
      <c r="J25" s="2" t="s">
        <v>18</v>
      </c>
      <c r="K25" s="2"/>
      <c r="O25" s="10" t="s">
        <v>61</v>
      </c>
      <c r="P25" s="10">
        <f>COUNTIFS(J:J,"Euthanized",B:B,"Other")</f>
        <v>10</v>
      </c>
      <c r="S25" s="10" t="s">
        <v>209</v>
      </c>
      <c r="T25" s="10">
        <f>COUNTIFS(J:J,"RTO",D:D,"0-6 months")</f>
        <v>1</v>
      </c>
    </row>
    <row r="26" spans="1:20" x14ac:dyDescent="0.25">
      <c r="A26" s="3">
        <v>39468</v>
      </c>
      <c r="B26" s="2" t="s">
        <v>36</v>
      </c>
      <c r="C26" t="s">
        <v>10</v>
      </c>
      <c r="D26" t="s">
        <v>209</v>
      </c>
      <c r="E26" s="2">
        <v>45670</v>
      </c>
      <c r="F26" s="2" cm="1">
        <f t="array" ref="F26">_xlfn.IFS(B26="Owner Surrender",E26,B26="Stray",E26+6,B26="Stray w/identification",E26+11,B26="Bite",E26+10,B26="Other",E26+30,B26="BAS",E26+56,B26="Seized",E26)</f>
        <v>45670</v>
      </c>
      <c r="J26" s="2" t="s">
        <v>21</v>
      </c>
      <c r="O26" s="10" t="s">
        <v>205</v>
      </c>
      <c r="P26" s="10">
        <f>COUNTIFS(J:J,"Euthanized",B:B,"BAS")</f>
        <v>2</v>
      </c>
      <c r="S26" s="10" t="s">
        <v>210</v>
      </c>
      <c r="T26" s="10">
        <f>COUNTIFS(J:J,"RTO",D:D,"6-12 months")</f>
        <v>0</v>
      </c>
    </row>
    <row r="27" spans="1:20" x14ac:dyDescent="0.25">
      <c r="A27" s="3">
        <v>39469</v>
      </c>
      <c r="B27" s="2" t="s">
        <v>36</v>
      </c>
      <c r="C27" t="s">
        <v>10</v>
      </c>
      <c r="D27" t="s">
        <v>209</v>
      </c>
      <c r="E27" s="2">
        <v>45670</v>
      </c>
      <c r="F27" s="2" cm="1">
        <f t="array" ref="F27">_xlfn.IFS(B27="Owner Surrender",E27,B27="Stray",E27+6,B27="Stray w/identification",E27+11,B27="Bite",E27+10,B27="Other",E27+30,B27="BAS",E27+56,B27="Seized",E27)</f>
        <v>45670</v>
      </c>
      <c r="G27" s="2">
        <v>45679</v>
      </c>
      <c r="H27" s="6">
        <f t="shared" ref="H27:H38" si="2">+G27-E27</f>
        <v>9</v>
      </c>
      <c r="I27" s="6">
        <f t="shared" ref="I27:I58" si="3">G27-F27</f>
        <v>9</v>
      </c>
      <c r="J27" s="2" t="s">
        <v>18</v>
      </c>
      <c r="O27" s="10" t="s">
        <v>42</v>
      </c>
      <c r="P27" s="10">
        <f>COUNTIFS(J:J,"Euthanized",B:B,"Bite")</f>
        <v>3</v>
      </c>
      <c r="S27" s="10" t="s">
        <v>208</v>
      </c>
      <c r="T27" s="10">
        <f>COUNTIFS(J:J,"RTO",D:D,"Adult")</f>
        <v>7</v>
      </c>
    </row>
    <row r="28" spans="1:20" ht="18.75" x14ac:dyDescent="0.3">
      <c r="A28" s="3">
        <v>39470</v>
      </c>
      <c r="B28" s="2" t="s">
        <v>36</v>
      </c>
      <c r="C28" t="s">
        <v>10</v>
      </c>
      <c r="D28" t="s">
        <v>209</v>
      </c>
      <c r="E28" s="2">
        <v>45670</v>
      </c>
      <c r="F28" s="2" cm="1">
        <f t="array" ref="F28">_xlfn.IFS(B28="Owner Surrender",E28,B28="Stray",E28+6,B28="Stray w/identification",E28+11,B28="Bite",E28+10,B28="Other",E28+30,B28="BAS",E28+56,B28="Seized",E28)</f>
        <v>45670</v>
      </c>
      <c r="G28" s="2">
        <v>45679</v>
      </c>
      <c r="H28" s="6">
        <f t="shared" si="2"/>
        <v>9</v>
      </c>
      <c r="I28" s="6">
        <f t="shared" si="3"/>
        <v>9</v>
      </c>
      <c r="J28" s="2" t="s">
        <v>18</v>
      </c>
      <c r="N28" s="11" t="s">
        <v>28</v>
      </c>
      <c r="O28" s="11"/>
      <c r="P28" s="11">
        <f>SUM(P29:P35)</f>
        <v>12</v>
      </c>
      <c r="S28" s="10" t="s">
        <v>211</v>
      </c>
      <c r="T28" s="10">
        <f>COUNTIFS(J:J,"RTO",D:D,"Senior")</f>
        <v>1</v>
      </c>
    </row>
    <row r="29" spans="1:20" ht="18.75" x14ac:dyDescent="0.3">
      <c r="A29" s="3">
        <v>39471</v>
      </c>
      <c r="B29" s="2" t="s">
        <v>36</v>
      </c>
      <c r="C29" t="s">
        <v>10</v>
      </c>
      <c r="D29" t="s">
        <v>209</v>
      </c>
      <c r="E29" s="2">
        <v>45670</v>
      </c>
      <c r="F29" s="2" cm="1">
        <f t="array" ref="F29">_xlfn.IFS(B29="Owner Surrender",E29,B29="Stray",E29+6,B29="Stray w/identification",E29+11,B29="Bite",E29+10,B29="Other",E29+30,B29="BAS",E29+56,B29="Seized",E29)</f>
        <v>45670</v>
      </c>
      <c r="G29" s="2">
        <v>45679</v>
      </c>
      <c r="H29" s="6">
        <f t="shared" si="2"/>
        <v>9</v>
      </c>
      <c r="I29" s="6">
        <f t="shared" si="3"/>
        <v>9</v>
      </c>
      <c r="J29" s="2" t="s">
        <v>18</v>
      </c>
      <c r="O29" s="10" t="s">
        <v>36</v>
      </c>
      <c r="P29" s="10">
        <f>COUNTIFS(J:J,"DOA",B:B,"Owner Surrender")</f>
        <v>1</v>
      </c>
      <c r="R29" s="11" t="s">
        <v>207</v>
      </c>
      <c r="S29" s="11"/>
      <c r="T29" s="11"/>
    </row>
    <row r="30" spans="1:20" x14ac:dyDescent="0.25">
      <c r="A30" s="3">
        <v>39472</v>
      </c>
      <c r="B30" s="2" t="s">
        <v>36</v>
      </c>
      <c r="C30" t="s">
        <v>10</v>
      </c>
      <c r="D30" t="s">
        <v>209</v>
      </c>
      <c r="E30" s="2">
        <v>45670</v>
      </c>
      <c r="F30" s="2" cm="1">
        <f t="array" ref="F30">_xlfn.IFS(B30="Owner Surrender",E30,B30="Stray",E30+6,B30="Stray w/identification",E30+11,B30="Bite",E30+10,B30="Other",E30+30,B30="BAS",E30+56,B30="Seized",E30)</f>
        <v>45670</v>
      </c>
      <c r="G30" s="2">
        <v>45679</v>
      </c>
      <c r="H30" s="6">
        <f t="shared" si="2"/>
        <v>9</v>
      </c>
      <c r="I30" s="6">
        <f t="shared" si="3"/>
        <v>9</v>
      </c>
      <c r="J30" s="2" t="s">
        <v>18</v>
      </c>
      <c r="O30" s="10" t="s">
        <v>38</v>
      </c>
      <c r="P30" s="10">
        <f>COUNTIFS(J:J,"DOA",B:B,"Stray")</f>
        <v>8</v>
      </c>
      <c r="S30" s="10" t="s">
        <v>209</v>
      </c>
      <c r="T30" s="10">
        <f>COUNTIFS(J:J,"Shelter",D:D,"0-6 months")</f>
        <v>11</v>
      </c>
    </row>
    <row r="31" spans="1:20" x14ac:dyDescent="0.25">
      <c r="A31" s="3">
        <v>39476</v>
      </c>
      <c r="B31" s="2" t="s">
        <v>36</v>
      </c>
      <c r="C31" t="s">
        <v>15</v>
      </c>
      <c r="D31" t="s">
        <v>209</v>
      </c>
      <c r="E31" s="2">
        <v>45670</v>
      </c>
      <c r="F31" s="2" cm="1">
        <f t="array" ref="F31">_xlfn.IFS(B31="Owner Surrender",E31,B31="Stray",E31+6,B31="Stray w/identification",E31+11,B31="Bite",E31+10,B31="Other",E31+30,B31="BAS",E31+56,B31="Seized",E31)</f>
        <v>45670</v>
      </c>
      <c r="G31" s="2">
        <v>45671</v>
      </c>
      <c r="H31" s="6">
        <f t="shared" si="2"/>
        <v>1</v>
      </c>
      <c r="I31" s="6">
        <f t="shared" si="3"/>
        <v>1</v>
      </c>
      <c r="J31" s="2" t="s">
        <v>11</v>
      </c>
      <c r="O31" s="10" t="s">
        <v>204</v>
      </c>
      <c r="P31" s="10">
        <f>COUNTIFS(J:J,"DOA",B:B,"Stray w/identification")</f>
        <v>1</v>
      </c>
      <c r="S31" s="10" t="s">
        <v>210</v>
      </c>
      <c r="T31" s="10">
        <f>COUNTIFS(J:J,"Shelter",D:D,"6-12 months")</f>
        <v>0</v>
      </c>
    </row>
    <row r="32" spans="1:20" x14ac:dyDescent="0.25">
      <c r="A32" s="3">
        <v>39479</v>
      </c>
      <c r="B32" s="2" t="s">
        <v>36</v>
      </c>
      <c r="C32" t="s">
        <v>10</v>
      </c>
      <c r="D32" t="s">
        <v>209</v>
      </c>
      <c r="E32" s="2">
        <v>45672</v>
      </c>
      <c r="F32" s="2" cm="1">
        <f t="array" ref="F32">_xlfn.IFS(B32="Owner Surrender",E32,B32="Stray",E32+6,B32="Stray w/identification",E32+11,B32="Bite",E32+10,B32="Other",E32+30,B32="BAS",E32+56,B32="Seized",E32)</f>
        <v>45672</v>
      </c>
      <c r="G32" s="2">
        <v>45677</v>
      </c>
      <c r="H32" s="6">
        <f t="shared" si="2"/>
        <v>5</v>
      </c>
      <c r="I32" s="6">
        <f t="shared" si="3"/>
        <v>5</v>
      </c>
      <c r="J32" s="2" t="s">
        <v>11</v>
      </c>
      <c r="K32" t="s">
        <v>97</v>
      </c>
      <c r="O32" s="10" t="s">
        <v>53</v>
      </c>
      <c r="P32" s="10">
        <f>COUNTIFS(J:J,"DOA",B:B,"Seized")</f>
        <v>1</v>
      </c>
      <c r="S32" s="10" t="s">
        <v>208</v>
      </c>
      <c r="T32" s="10">
        <f>COUNTIFS(J:J,"Shelter",D:D,"Adult")</f>
        <v>8</v>
      </c>
    </row>
    <row r="33" spans="1:20" x14ac:dyDescent="0.25">
      <c r="A33" s="3">
        <v>39482</v>
      </c>
      <c r="B33" s="2" t="s">
        <v>36</v>
      </c>
      <c r="C33" t="s">
        <v>7</v>
      </c>
      <c r="D33" t="s">
        <v>210</v>
      </c>
      <c r="E33" s="2">
        <v>45672</v>
      </c>
      <c r="F33" s="2" cm="1">
        <f t="array" ref="F33">_xlfn.IFS(B33="Owner Surrender",E33,B33="Stray",E33+6,B33="Stray w/identification",E33+11,B33="Bite",E33+10,B33="Other",E33+30,B33="BAS",E33+56,B33="Seized",E33)</f>
        <v>45672</v>
      </c>
      <c r="G33" s="2">
        <v>45680</v>
      </c>
      <c r="H33" s="6">
        <f t="shared" si="2"/>
        <v>8</v>
      </c>
      <c r="I33" s="6">
        <f t="shared" si="3"/>
        <v>8</v>
      </c>
      <c r="J33" s="2" t="s">
        <v>18</v>
      </c>
      <c r="O33" s="10" t="s">
        <v>61</v>
      </c>
      <c r="P33" s="10">
        <f>COUNTIFS(J:J,"DOA",B:B,"Other")</f>
        <v>1</v>
      </c>
      <c r="S33" s="10" t="s">
        <v>211</v>
      </c>
      <c r="T33" s="10">
        <f>COUNTIFS(J:J,"Shelter",D:D,"Senior")</f>
        <v>0</v>
      </c>
    </row>
    <row r="34" spans="1:20" x14ac:dyDescent="0.25">
      <c r="A34" s="3">
        <v>39483</v>
      </c>
      <c r="B34" s="2" t="s">
        <v>36</v>
      </c>
      <c r="C34" t="s">
        <v>7</v>
      </c>
      <c r="D34" t="s">
        <v>210</v>
      </c>
      <c r="E34" s="2">
        <v>45672</v>
      </c>
      <c r="F34" s="2" cm="1">
        <f t="array" ref="F34">_xlfn.IFS(B34="Owner Surrender",E34,B34="Stray",E34+6,B34="Stray w/identification",E34+11,B34="Bite",E34+10,B34="Other",E34+30,B34="BAS",E34+56,B34="Seized",E34)</f>
        <v>45672</v>
      </c>
      <c r="G34" s="2">
        <v>45680</v>
      </c>
      <c r="H34" s="6">
        <f t="shared" si="2"/>
        <v>8</v>
      </c>
      <c r="I34" s="6">
        <f t="shared" si="3"/>
        <v>8</v>
      </c>
      <c r="J34" s="2" t="s">
        <v>18</v>
      </c>
      <c r="O34" s="10" t="s">
        <v>205</v>
      </c>
      <c r="P34" s="10">
        <f>COUNTIFS(J:J,"DOA",B:B,"BAS")</f>
        <v>0</v>
      </c>
    </row>
    <row r="35" spans="1:20" x14ac:dyDescent="0.25">
      <c r="A35" s="3">
        <v>39484</v>
      </c>
      <c r="B35" s="2" t="s">
        <v>36</v>
      </c>
      <c r="C35" t="s">
        <v>7</v>
      </c>
      <c r="D35" t="s">
        <v>210</v>
      </c>
      <c r="E35" s="2">
        <v>45672</v>
      </c>
      <c r="F35" s="2" cm="1">
        <f t="array" ref="F35">_xlfn.IFS(B35="Owner Surrender",E35,B35="Stray",E35+6,B35="Stray w/identification",E35+11,B35="Bite",E35+10,B35="Other",E35+30,B35="BAS",E35+56,B35="Seized",E35)</f>
        <v>45672</v>
      </c>
      <c r="G35" s="2">
        <v>45680</v>
      </c>
      <c r="H35" s="6">
        <f t="shared" si="2"/>
        <v>8</v>
      </c>
      <c r="I35" s="6">
        <f t="shared" si="3"/>
        <v>8</v>
      </c>
      <c r="J35" s="2" t="s">
        <v>18</v>
      </c>
      <c r="L35" s="2"/>
      <c r="O35" s="10" t="s">
        <v>42</v>
      </c>
      <c r="P35" s="10">
        <f>COUNTIFS(J:J,"DOA",B:B,"Bite")</f>
        <v>0</v>
      </c>
    </row>
    <row r="36" spans="1:20" ht="18.75" x14ac:dyDescent="0.3">
      <c r="A36" s="3">
        <v>39495</v>
      </c>
      <c r="B36" s="2" t="s">
        <v>38</v>
      </c>
      <c r="C36" t="s">
        <v>7</v>
      </c>
      <c r="D36" t="s">
        <v>208</v>
      </c>
      <c r="E36" s="2">
        <v>45674</v>
      </c>
      <c r="F36" s="2" cm="1">
        <f t="array" ref="F36">_xlfn.IFS(B36="Owner Surrender",E36,B36="Stray",E36+6,B36="Stray w/identification",E36+11,B36="Bite",E36+10,B36="Other",E36+30,B36="BAS",E36+56,B36="Seized",E36)</f>
        <v>45680</v>
      </c>
      <c r="G36" s="2">
        <v>45685</v>
      </c>
      <c r="H36" s="6">
        <f t="shared" si="2"/>
        <v>11</v>
      </c>
      <c r="I36" s="6">
        <f t="shared" si="3"/>
        <v>5</v>
      </c>
      <c r="J36" s="2" t="s">
        <v>31</v>
      </c>
      <c r="N36" s="11" t="s">
        <v>206</v>
      </c>
      <c r="O36" s="11"/>
      <c r="P36" s="11">
        <f>SUM(P37:P43)</f>
        <v>9</v>
      </c>
    </row>
    <row r="37" spans="1:20" x14ac:dyDescent="0.25">
      <c r="A37" s="3">
        <v>39502</v>
      </c>
      <c r="B37" s="2" t="s">
        <v>36</v>
      </c>
      <c r="C37" t="s">
        <v>15</v>
      </c>
      <c r="D37" t="s">
        <v>208</v>
      </c>
      <c r="E37" s="2">
        <v>45674</v>
      </c>
      <c r="F37" s="2" cm="1">
        <f t="array" ref="F37">_xlfn.IFS(B37="Owner Surrender",E37,B37="Stray",E37+6,B37="Stray w/identification",E37+11,B37="Bite",E37+10,B37="Other",E37+30,B37="BAS",E37+56,B37="Seized",E37)</f>
        <v>45674</v>
      </c>
      <c r="G37" s="2">
        <v>45680</v>
      </c>
      <c r="H37" s="6">
        <f t="shared" si="2"/>
        <v>6</v>
      </c>
      <c r="I37" s="6">
        <f t="shared" si="3"/>
        <v>6</v>
      </c>
      <c r="J37" s="2" t="s">
        <v>18</v>
      </c>
      <c r="L37" t="s">
        <v>229</v>
      </c>
      <c r="O37" s="10" t="s">
        <v>36</v>
      </c>
      <c r="P37" s="10">
        <f>COUNTIFS(J:J,"RTO",B:B,"Owner Surrender")</f>
        <v>2</v>
      </c>
    </row>
    <row r="38" spans="1:20" x14ac:dyDescent="0.25">
      <c r="A38" s="3">
        <v>39504</v>
      </c>
      <c r="B38" s="2" t="s">
        <v>36</v>
      </c>
      <c r="C38" t="s">
        <v>7</v>
      </c>
      <c r="D38" t="s">
        <v>208</v>
      </c>
      <c r="E38" s="2">
        <v>45674</v>
      </c>
      <c r="F38" s="2" cm="1">
        <f t="array" ref="F38">_xlfn.IFS(B38="Owner Surrender",E38,B38="Stray",E38+6,B38="Stray w/identification",E38+11,B38="Bite",E38+10,B38="Other",E38+30,B38="BAS",E38+56,B38="Seized",E38)</f>
        <v>45674</v>
      </c>
      <c r="G38" s="2">
        <v>45680</v>
      </c>
      <c r="H38" s="6">
        <f t="shared" si="2"/>
        <v>6</v>
      </c>
      <c r="I38" s="6">
        <f t="shared" si="3"/>
        <v>6</v>
      </c>
      <c r="J38" s="2" t="s">
        <v>18</v>
      </c>
      <c r="K38" t="s">
        <v>230</v>
      </c>
      <c r="O38" s="10" t="s">
        <v>38</v>
      </c>
      <c r="P38" s="10">
        <f>COUNTIFS(J:J,"RTO",B:B,"Stray")</f>
        <v>3</v>
      </c>
    </row>
    <row r="39" spans="1:20" x14ac:dyDescent="0.25">
      <c r="A39" s="3">
        <v>39509</v>
      </c>
      <c r="B39" s="2" t="s">
        <v>38</v>
      </c>
      <c r="C39" t="s">
        <v>7</v>
      </c>
      <c r="D39" t="s">
        <v>208</v>
      </c>
      <c r="E39" s="2">
        <v>45675</v>
      </c>
      <c r="F39" s="2" cm="1">
        <f t="array" ref="F39">_xlfn.IFS(B39="Owner Surrender",E39,B39="Stray",E39+6,B39="Stray w/identification",E39+11,B39="Bite",E39+10,B39="Other",E39+30,B39="BAS",E39+56,B39="Seized",E39)</f>
        <v>45681</v>
      </c>
      <c r="G39" s="2">
        <v>45681</v>
      </c>
      <c r="I39" s="6">
        <f t="shared" si="3"/>
        <v>0</v>
      </c>
      <c r="J39" s="2" t="s">
        <v>31</v>
      </c>
      <c r="L39" s="2" t="s">
        <v>34</v>
      </c>
      <c r="O39" s="10" t="s">
        <v>204</v>
      </c>
      <c r="P39" s="10">
        <f>COUNTIFS(J:J,"RTO",B:B,"Stray w/identification")</f>
        <v>1</v>
      </c>
    </row>
    <row r="40" spans="1:20" x14ac:dyDescent="0.25">
      <c r="A40" s="3">
        <v>39511</v>
      </c>
      <c r="B40" s="2" t="s">
        <v>38</v>
      </c>
      <c r="C40" t="s">
        <v>15</v>
      </c>
      <c r="D40" t="s">
        <v>209</v>
      </c>
      <c r="E40" s="2">
        <v>45675</v>
      </c>
      <c r="F40" s="2" cm="1">
        <f t="array" ref="F40">_xlfn.IFS(B40="Owner Surrender",E40,B40="Stray",E40+6,B40="Stray w/identification",E40+11,B40="Bite",E40+10,B40="Other",E40+30,B40="BAS",E40+56,B40="Seized",E40)</f>
        <v>45681</v>
      </c>
      <c r="G40" s="2">
        <v>45675</v>
      </c>
      <c r="H40" s="6">
        <f t="shared" ref="H40:H103" si="4">+G40-E40</f>
        <v>0</v>
      </c>
      <c r="I40" s="6">
        <f t="shared" si="3"/>
        <v>-6</v>
      </c>
      <c r="J40" s="2" t="s">
        <v>31</v>
      </c>
      <c r="L40" t="s">
        <v>220</v>
      </c>
      <c r="O40" s="10" t="s">
        <v>53</v>
      </c>
      <c r="P40" s="10">
        <f>COUNTIFS(J:J,"RTO",B:B,"Seized")</f>
        <v>0</v>
      </c>
    </row>
    <row r="41" spans="1:20" x14ac:dyDescent="0.25">
      <c r="A41" s="3">
        <v>39521</v>
      </c>
      <c r="B41" s="2" t="s">
        <v>38</v>
      </c>
      <c r="C41" t="s">
        <v>7</v>
      </c>
      <c r="D41" t="s">
        <v>209</v>
      </c>
      <c r="E41" s="2">
        <v>45677</v>
      </c>
      <c r="F41" s="2" cm="1">
        <f t="array" ref="F41">_xlfn.IFS(B41="Owner Surrender",E41,B41="Stray",E41+6,B41="Stray w/identification",E41+11,B41="Bite",E41+10,B41="Other",E41+30,B41="BAS",E41+56,B41="Seized",E41)</f>
        <v>45683</v>
      </c>
      <c r="G41" s="2">
        <v>45685</v>
      </c>
      <c r="H41" s="6">
        <f t="shared" si="4"/>
        <v>8</v>
      </c>
      <c r="I41" s="6">
        <f t="shared" si="3"/>
        <v>2</v>
      </c>
      <c r="J41" s="2" t="s">
        <v>11</v>
      </c>
      <c r="O41" s="10" t="s">
        <v>61</v>
      </c>
      <c r="P41" s="10">
        <f>COUNTIFS(J:J,"RTO",B:B,"Other")</f>
        <v>3</v>
      </c>
    </row>
    <row r="42" spans="1:20" x14ac:dyDescent="0.25">
      <c r="A42" s="3">
        <v>39522</v>
      </c>
      <c r="B42" s="2" t="s">
        <v>36</v>
      </c>
      <c r="C42" t="s">
        <v>15</v>
      </c>
      <c r="D42" t="s">
        <v>211</v>
      </c>
      <c r="E42" s="2">
        <v>45678</v>
      </c>
      <c r="F42" s="2" cm="1">
        <f t="array" ref="F42">_xlfn.IFS(B42="Owner Surrender",E42,B42="Stray",E42+6,B42="Stray w/identification",E42+11,B42="Bite",E42+10,B42="Other",E42+30,B42="BAS",E42+56,B42="Seized",E42)</f>
        <v>45678</v>
      </c>
      <c r="G42" s="2">
        <v>45678</v>
      </c>
      <c r="H42" s="6">
        <f t="shared" si="4"/>
        <v>0</v>
      </c>
      <c r="I42" s="6">
        <f t="shared" si="3"/>
        <v>0</v>
      </c>
      <c r="J42" s="2" t="s">
        <v>31</v>
      </c>
      <c r="K42" t="s">
        <v>223</v>
      </c>
      <c r="L42" t="s">
        <v>222</v>
      </c>
      <c r="O42" s="10" t="s">
        <v>205</v>
      </c>
      <c r="P42" s="10">
        <f>COUNTIFS(J:J,"RTO",B:B,"BAS")</f>
        <v>0</v>
      </c>
    </row>
    <row r="43" spans="1:20" x14ac:dyDescent="0.25">
      <c r="A43" s="3">
        <v>39525</v>
      </c>
      <c r="B43" s="2" t="s">
        <v>36</v>
      </c>
      <c r="C43" t="s">
        <v>7</v>
      </c>
      <c r="D43" t="s">
        <v>208</v>
      </c>
      <c r="E43" s="2">
        <v>45678</v>
      </c>
      <c r="F43" s="2" cm="1">
        <f t="array" ref="F43">_xlfn.IFS(B43="Owner Surrender",E43,B43="Stray",E43+6,B43="Stray w/identification",E43+11,B43="Bite",E43+10,B43="Other",E43+30,B43="BAS",E43+56,B43="Seized",E43)</f>
        <v>45678</v>
      </c>
      <c r="G43" s="2">
        <v>45680</v>
      </c>
      <c r="H43" s="6">
        <f t="shared" si="4"/>
        <v>2</v>
      </c>
      <c r="I43" s="6">
        <f t="shared" si="3"/>
        <v>2</v>
      </c>
      <c r="J43" s="2" t="s">
        <v>18</v>
      </c>
      <c r="K43" t="s">
        <v>231</v>
      </c>
      <c r="O43" s="10" t="s">
        <v>42</v>
      </c>
      <c r="P43" s="10">
        <f>COUNTIFS(J:J,"RTO",B:B,"Bite")</f>
        <v>0</v>
      </c>
    </row>
    <row r="44" spans="1:20" ht="18.75" x14ac:dyDescent="0.3">
      <c r="A44" s="3">
        <v>39526</v>
      </c>
      <c r="B44" s="2" t="s">
        <v>36</v>
      </c>
      <c r="C44" t="s">
        <v>10</v>
      </c>
      <c r="D44" t="s">
        <v>208</v>
      </c>
      <c r="E44" s="2">
        <v>45679</v>
      </c>
      <c r="F44" s="2" cm="1">
        <f t="array" ref="F44">_xlfn.IFS(B44="Owner Surrender",E44,B44="Stray",E44+6,B44="Stray w/identification",E44+11,B44="Bite",E44+10,B44="Other",E44+30,B44="BAS",E44+56,B44="Seized",E44)</f>
        <v>45679</v>
      </c>
      <c r="G44" s="2">
        <v>45680</v>
      </c>
      <c r="H44" s="6">
        <f t="shared" si="4"/>
        <v>1</v>
      </c>
      <c r="I44" s="6">
        <f t="shared" si="3"/>
        <v>1</v>
      </c>
      <c r="J44" s="2" t="s">
        <v>31</v>
      </c>
      <c r="L44" t="s">
        <v>216</v>
      </c>
      <c r="N44" s="11" t="s">
        <v>207</v>
      </c>
      <c r="O44" s="11"/>
      <c r="P44" s="11">
        <f>SUM(P45:P51)</f>
        <v>19</v>
      </c>
    </row>
    <row r="45" spans="1:20" x14ac:dyDescent="0.25">
      <c r="A45" s="3">
        <v>39527</v>
      </c>
      <c r="B45" s="2" t="s">
        <v>36</v>
      </c>
      <c r="C45" t="s">
        <v>7</v>
      </c>
      <c r="D45" t="s">
        <v>210</v>
      </c>
      <c r="E45" s="2">
        <v>45679</v>
      </c>
      <c r="F45" s="2" cm="1">
        <f t="array" ref="F45">_xlfn.IFS(B45="Owner Surrender",E45,B45="Stray",E45+6,B45="Stray w/identification",E45+11,B45="Bite",E45+10,B45="Other",E45+30,B45="BAS",E45+56,B45="Seized",E45)</f>
        <v>45679</v>
      </c>
      <c r="G45" s="2">
        <v>45680</v>
      </c>
      <c r="H45" s="6">
        <f t="shared" si="4"/>
        <v>1</v>
      </c>
      <c r="I45" s="6">
        <f t="shared" si="3"/>
        <v>1</v>
      </c>
      <c r="J45" s="2" t="s">
        <v>31</v>
      </c>
      <c r="L45" t="s">
        <v>216</v>
      </c>
      <c r="O45" s="10" t="s">
        <v>36</v>
      </c>
      <c r="P45" s="10">
        <f>COUNTIFS(J:J,"Shelter",B:B,"Owner Surrender")</f>
        <v>9</v>
      </c>
    </row>
    <row r="46" spans="1:20" x14ac:dyDescent="0.25">
      <c r="A46" s="3">
        <v>39528</v>
      </c>
      <c r="B46" s="2" t="s">
        <v>36</v>
      </c>
      <c r="C46" t="s">
        <v>7</v>
      </c>
      <c r="D46" t="s">
        <v>210</v>
      </c>
      <c r="E46" s="2">
        <v>45679</v>
      </c>
      <c r="F46" s="2" cm="1">
        <f t="array" ref="F46">_xlfn.IFS(B46="Owner Surrender",E46,B46="Stray",E46+6,B46="Stray w/identification",E46+11,B46="Bite",E46+10,B46="Other",E46+30,B46="BAS",E46+56,B46="Seized",E46)</f>
        <v>45679</v>
      </c>
      <c r="G46" s="2">
        <v>45680</v>
      </c>
      <c r="H46" s="6">
        <f t="shared" si="4"/>
        <v>1</v>
      </c>
      <c r="I46" s="6">
        <f t="shared" si="3"/>
        <v>1</v>
      </c>
      <c r="J46" s="2" t="s">
        <v>31</v>
      </c>
      <c r="L46" t="s">
        <v>216</v>
      </c>
      <c r="O46" s="10" t="s">
        <v>38</v>
      </c>
      <c r="P46" s="10">
        <f>COUNTIFS(J:J,"Shelter",B:B,"Stray")</f>
        <v>9</v>
      </c>
    </row>
    <row r="47" spans="1:20" x14ac:dyDescent="0.25">
      <c r="A47" s="3">
        <v>39529</v>
      </c>
      <c r="B47" s="2" t="s">
        <v>36</v>
      </c>
      <c r="C47" t="s">
        <v>7</v>
      </c>
      <c r="D47" t="s">
        <v>210</v>
      </c>
      <c r="E47" s="2">
        <v>45679</v>
      </c>
      <c r="F47" s="2" cm="1">
        <f t="array" ref="F47">_xlfn.IFS(B47="Owner Surrender",E47,B47="Stray",E47+6,B47="Stray w/identification",E47+11,B47="Bite",E47+10,B47="Other",E47+30,B47="BAS",E47+56,B47="Seized",E47)</f>
        <v>45679</v>
      </c>
      <c r="G47" s="2">
        <v>45680</v>
      </c>
      <c r="H47" s="6">
        <f t="shared" si="4"/>
        <v>1</v>
      </c>
      <c r="I47" s="6">
        <f t="shared" si="3"/>
        <v>1</v>
      </c>
      <c r="J47" s="2" t="s">
        <v>31</v>
      </c>
      <c r="L47" t="s">
        <v>216</v>
      </c>
      <c r="O47" s="10" t="s">
        <v>204</v>
      </c>
      <c r="P47" s="10">
        <f>COUNTIFS(J:J,"Shelter",B:B,"Stray w/identification")</f>
        <v>1</v>
      </c>
    </row>
    <row r="48" spans="1:20" x14ac:dyDescent="0.25">
      <c r="A48" s="3">
        <v>39530</v>
      </c>
      <c r="B48" s="2" t="s">
        <v>36</v>
      </c>
      <c r="C48" t="s">
        <v>7</v>
      </c>
      <c r="D48" t="s">
        <v>210</v>
      </c>
      <c r="E48" s="2">
        <v>45679</v>
      </c>
      <c r="F48" s="2" cm="1">
        <f t="array" ref="F48">_xlfn.IFS(B48="Owner Surrender",E48,B48="Stray",E48+6,B48="Stray w/identification",E48+11,B48="Bite",E48+10,B48="Other",E48+30,B48="BAS",E48+56,B48="Seized",E48)</f>
        <v>45679</v>
      </c>
      <c r="G48" s="2">
        <v>45680</v>
      </c>
      <c r="H48" s="6">
        <f t="shared" si="4"/>
        <v>1</v>
      </c>
      <c r="I48" s="6">
        <f t="shared" si="3"/>
        <v>1</v>
      </c>
      <c r="J48" s="2" t="s">
        <v>31</v>
      </c>
      <c r="L48" t="s">
        <v>216</v>
      </c>
      <c r="O48" s="10" t="s">
        <v>53</v>
      </c>
      <c r="P48" s="10">
        <f>COUNTIFS(J:J,"Shelter",B:B,"Seized")</f>
        <v>0</v>
      </c>
    </row>
    <row r="49" spans="1:16" x14ac:dyDescent="0.25">
      <c r="A49" s="3">
        <v>39531</v>
      </c>
      <c r="B49" s="2" t="s">
        <v>36</v>
      </c>
      <c r="C49" t="s">
        <v>7</v>
      </c>
      <c r="D49" t="s">
        <v>210</v>
      </c>
      <c r="E49" s="2">
        <v>45679</v>
      </c>
      <c r="F49" s="2" cm="1">
        <f t="array" ref="F49">_xlfn.IFS(B49="Owner Surrender",E49,B49="Stray",E49+6,B49="Stray w/identification",E49+11,B49="Bite",E49+10,B49="Other",E49+30,B49="BAS",E49+56,B49="Seized",E49)</f>
        <v>45679</v>
      </c>
      <c r="G49" s="2">
        <v>45680</v>
      </c>
      <c r="H49" s="6">
        <f t="shared" si="4"/>
        <v>1</v>
      </c>
      <c r="I49" s="6">
        <f t="shared" si="3"/>
        <v>1</v>
      </c>
      <c r="J49" s="2" t="s">
        <v>31</v>
      </c>
      <c r="L49" t="s">
        <v>216</v>
      </c>
      <c r="O49" s="10" t="s">
        <v>61</v>
      </c>
      <c r="P49" s="10">
        <f>COUNTIFS(J:J,"Shelter",B:B,"Other")</f>
        <v>0</v>
      </c>
    </row>
    <row r="50" spans="1:16" x14ac:dyDescent="0.25">
      <c r="A50" s="3">
        <v>39532</v>
      </c>
      <c r="B50" s="2" t="s">
        <v>36</v>
      </c>
      <c r="C50" t="s">
        <v>7</v>
      </c>
      <c r="D50" t="s">
        <v>210</v>
      </c>
      <c r="E50" s="2">
        <v>45679</v>
      </c>
      <c r="F50" s="2" cm="1">
        <f t="array" ref="F50">_xlfn.IFS(B50="Owner Surrender",E50,B50="Stray",E50+6,B50="Stray w/identification",E50+11,B50="Bite",E50+10,B50="Other",E50+30,B50="BAS",E50+56,B50="Seized",E50)</f>
        <v>45679</v>
      </c>
      <c r="G50" s="2">
        <v>45680</v>
      </c>
      <c r="H50" s="6">
        <f t="shared" si="4"/>
        <v>1</v>
      </c>
      <c r="I50" s="6">
        <f t="shared" si="3"/>
        <v>1</v>
      </c>
      <c r="J50" s="2" t="s">
        <v>31</v>
      </c>
      <c r="L50" t="s">
        <v>216</v>
      </c>
      <c r="O50" s="10" t="s">
        <v>205</v>
      </c>
      <c r="P50" s="10">
        <f>COUNTIFS(J:J,"Shelter",B:B,"BAS")</f>
        <v>0</v>
      </c>
    </row>
    <row r="51" spans="1:16" x14ac:dyDescent="0.25">
      <c r="A51" s="3">
        <v>39536</v>
      </c>
      <c r="B51" s="2" t="s">
        <v>38</v>
      </c>
      <c r="C51" t="s">
        <v>7</v>
      </c>
      <c r="D51" t="s">
        <v>208</v>
      </c>
      <c r="E51" s="2">
        <v>45680</v>
      </c>
      <c r="F51" s="2" cm="1">
        <f t="array" ref="F51">_xlfn.IFS(B51="Owner Surrender",E51,B51="Stray",E51+6,B51="Stray w/identification",E51+11,B51="Bite",E51+10,B51="Other",E51+30,B51="BAS",E51+56,B51="Seized",E51)</f>
        <v>45686</v>
      </c>
      <c r="G51" s="2">
        <v>45740</v>
      </c>
      <c r="H51" s="6">
        <f t="shared" si="4"/>
        <v>60</v>
      </c>
      <c r="I51" s="6">
        <f t="shared" si="3"/>
        <v>54</v>
      </c>
      <c r="J51" s="2" t="s">
        <v>11</v>
      </c>
      <c r="K51" t="s">
        <v>212</v>
      </c>
      <c r="O51" s="10" t="s">
        <v>42</v>
      </c>
      <c r="P51" s="10">
        <f>COUNTIFS(J:J,"Shelter",B:B,"Bite")</f>
        <v>0</v>
      </c>
    </row>
    <row r="52" spans="1:16" x14ac:dyDescent="0.25">
      <c r="A52" s="3">
        <v>39538</v>
      </c>
      <c r="B52" s="2" t="s">
        <v>36</v>
      </c>
      <c r="C52" t="s">
        <v>7</v>
      </c>
      <c r="D52" t="s">
        <v>208</v>
      </c>
      <c r="E52" s="2">
        <v>45680</v>
      </c>
      <c r="F52" s="2" cm="1">
        <f t="array" ref="F52">_xlfn.IFS(B52="Owner Surrender",E52,B52="Stray",E52+6,B52="Stray w/identification",E52+11,B52="Bite",E52+10,B52="Other",E52+30,B52="BAS",E52+56,B52="Seized",E52)</f>
        <v>45680</v>
      </c>
      <c r="G52" s="2">
        <v>45694</v>
      </c>
      <c r="H52" s="6">
        <f t="shared" si="4"/>
        <v>14</v>
      </c>
      <c r="I52" s="6">
        <f t="shared" si="3"/>
        <v>14</v>
      </c>
      <c r="J52" s="2" t="s">
        <v>31</v>
      </c>
    </row>
    <row r="53" spans="1:16" x14ac:dyDescent="0.25">
      <c r="A53" s="3">
        <v>39539</v>
      </c>
      <c r="B53" s="2" t="s">
        <v>36</v>
      </c>
      <c r="C53" t="s">
        <v>7</v>
      </c>
      <c r="D53" t="s">
        <v>208</v>
      </c>
      <c r="E53" s="2">
        <v>45680</v>
      </c>
      <c r="F53" s="2" cm="1">
        <f t="array" ref="F53">_xlfn.IFS(B53="Owner Surrender",E53,B53="Stray",E53+6,B53="Stray w/identification",E53+11,B53="Bite",E53+10,B53="Other",E53+30,B53="BAS",E53+56,B53="Seized",E53)</f>
        <v>45680</v>
      </c>
      <c r="G53" s="2">
        <v>45692</v>
      </c>
      <c r="H53" s="6">
        <f t="shared" si="4"/>
        <v>12</v>
      </c>
      <c r="I53" s="6">
        <f t="shared" si="3"/>
        <v>12</v>
      </c>
      <c r="J53" s="2" t="s">
        <v>31</v>
      </c>
    </row>
    <row r="54" spans="1:16" x14ac:dyDescent="0.25">
      <c r="A54" s="3">
        <v>39556</v>
      </c>
      <c r="B54" s="2" t="s">
        <v>36</v>
      </c>
      <c r="C54" t="s">
        <v>7</v>
      </c>
      <c r="D54" t="s">
        <v>208</v>
      </c>
      <c r="E54" s="2">
        <v>45684</v>
      </c>
      <c r="F54" s="2" cm="1">
        <f t="array" ref="F54">_xlfn.IFS(B54="Owner Surrender",E54,B54="Stray",E54+6,B54="Stray w/identification",E54+11,B54="Bite",E54+10,B54="Other",E54+30,B54="BAS",E54+56,B54="Seized",E54)</f>
        <v>45684</v>
      </c>
      <c r="G54" s="2">
        <v>45698</v>
      </c>
      <c r="H54" s="6">
        <f t="shared" si="4"/>
        <v>14</v>
      </c>
      <c r="I54" s="6">
        <f t="shared" si="3"/>
        <v>14</v>
      </c>
      <c r="J54" s="2" t="s">
        <v>31</v>
      </c>
      <c r="K54" t="s">
        <v>217</v>
      </c>
    </row>
    <row r="55" spans="1:16" x14ac:dyDescent="0.25">
      <c r="A55" s="3">
        <v>39559</v>
      </c>
      <c r="B55" s="2" t="s">
        <v>36</v>
      </c>
      <c r="C55" t="s">
        <v>15</v>
      </c>
      <c r="D55" t="s">
        <v>211</v>
      </c>
      <c r="E55" s="2">
        <v>45684</v>
      </c>
      <c r="F55" s="2" cm="1">
        <f t="array" ref="F55">_xlfn.IFS(B55="Owner Surrender",E55,B55="Stray",E55+6,B55="Stray w/identification",E55+11,B55="Bite",E55+10,B55="Other",E55+30,B55="BAS",E55+56,B55="Seized",E55)</f>
        <v>45684</v>
      </c>
      <c r="G55" s="2">
        <v>45686</v>
      </c>
      <c r="H55" s="6">
        <f t="shared" si="4"/>
        <v>2</v>
      </c>
      <c r="I55" s="6">
        <f t="shared" si="3"/>
        <v>2</v>
      </c>
      <c r="J55" s="2" t="s">
        <v>31</v>
      </c>
      <c r="K55" t="s">
        <v>224</v>
      </c>
    </row>
    <row r="56" spans="1:16" x14ac:dyDescent="0.25">
      <c r="A56" s="3">
        <v>39564</v>
      </c>
      <c r="B56" s="2" t="s">
        <v>36</v>
      </c>
      <c r="C56" t="s">
        <v>7</v>
      </c>
      <c r="D56" t="s">
        <v>208</v>
      </c>
      <c r="E56" s="2">
        <v>45685</v>
      </c>
      <c r="F56" s="2" cm="1">
        <f t="array" ref="F56">_xlfn.IFS(B56="Owner Surrender",E56,B56="Stray",E56+6,B56="Stray w/identification",E56+11,B56="Bite",E56+10,B56="Other",E56+30,B56="BAS",E56+56,B56="Seized",E56)</f>
        <v>45685</v>
      </c>
      <c r="G56" s="2">
        <v>45706</v>
      </c>
      <c r="H56" s="6">
        <f t="shared" si="4"/>
        <v>21</v>
      </c>
      <c r="I56" s="6">
        <f t="shared" si="3"/>
        <v>21</v>
      </c>
      <c r="J56" s="2" t="s">
        <v>18</v>
      </c>
      <c r="K56" s="2" t="s">
        <v>232</v>
      </c>
      <c r="L56" s="2"/>
    </row>
    <row r="57" spans="1:16" x14ac:dyDescent="0.25">
      <c r="A57" s="3">
        <v>39565</v>
      </c>
      <c r="B57" s="2" t="s">
        <v>36</v>
      </c>
      <c r="C57" t="s">
        <v>7</v>
      </c>
      <c r="D57" t="s">
        <v>208</v>
      </c>
      <c r="E57" s="2">
        <v>45685</v>
      </c>
      <c r="F57" s="2" cm="1">
        <f t="array" ref="F57">_xlfn.IFS(B57="Owner Surrender",E57,B57="Stray",E57+6,B57="Stray w/identification",E57+11,B57="Bite",E57+10,B57="Other",E57+30,B57="BAS",E57+56,B57="Seized",E57)</f>
        <v>45685</v>
      </c>
      <c r="G57" s="2">
        <v>45694</v>
      </c>
      <c r="H57" s="6">
        <f t="shared" si="4"/>
        <v>9</v>
      </c>
      <c r="I57" s="6">
        <f t="shared" si="3"/>
        <v>9</v>
      </c>
      <c r="J57" s="2" t="s">
        <v>31</v>
      </c>
    </row>
    <row r="58" spans="1:16" x14ac:dyDescent="0.25">
      <c r="A58" s="3">
        <v>39566</v>
      </c>
      <c r="B58" s="2" t="s">
        <v>36</v>
      </c>
      <c r="C58" t="s">
        <v>7</v>
      </c>
      <c r="D58" t="s">
        <v>208</v>
      </c>
      <c r="E58" s="2">
        <v>45685</v>
      </c>
      <c r="F58" s="2" cm="1">
        <f t="array" ref="F58">_xlfn.IFS(B58="Owner Surrender",E58,B58="Stray",E58+6,B58="Stray w/identification",E58+11,B58="Bite",E58+10,B58="Other",E58+30,B58="BAS",E58+56,B58="Seized",E58)</f>
        <v>45685</v>
      </c>
      <c r="G58" s="2">
        <v>45692</v>
      </c>
      <c r="H58" s="6">
        <f t="shared" si="4"/>
        <v>7</v>
      </c>
      <c r="I58" s="6">
        <f t="shared" si="3"/>
        <v>7</v>
      </c>
      <c r="J58" s="2" t="s">
        <v>31</v>
      </c>
    </row>
    <row r="59" spans="1:16" x14ac:dyDescent="0.25">
      <c r="A59" s="3">
        <v>39575</v>
      </c>
      <c r="B59" s="2" t="s">
        <v>38</v>
      </c>
      <c r="C59" t="s">
        <v>15</v>
      </c>
      <c r="D59" t="s">
        <v>208</v>
      </c>
      <c r="E59" s="2">
        <v>45687</v>
      </c>
      <c r="F59" s="2" cm="1">
        <f t="array" ref="F59">_xlfn.IFS(B59="Owner Surrender",E59,B59="Stray",E59+6,B59="Stray w/identification",E59+11,B59="Bite",E59+10,B59="Other",E59+30,B59="BAS",E59+56,B59="Seized",E59)</f>
        <v>45693</v>
      </c>
      <c r="G59" s="2">
        <v>45694</v>
      </c>
      <c r="H59" s="6">
        <f t="shared" si="4"/>
        <v>7</v>
      </c>
      <c r="I59" s="6">
        <f t="shared" ref="I59:I90" si="5">G59-F59</f>
        <v>1</v>
      </c>
      <c r="J59" s="2" t="s">
        <v>31</v>
      </c>
      <c r="L59" t="s">
        <v>218</v>
      </c>
    </row>
    <row r="60" spans="1:16" x14ac:dyDescent="0.25">
      <c r="A60" s="3">
        <v>39577</v>
      </c>
      <c r="B60" s="2" t="s">
        <v>36</v>
      </c>
      <c r="C60" t="s">
        <v>7</v>
      </c>
      <c r="D60" t="s">
        <v>208</v>
      </c>
      <c r="E60" s="2">
        <v>45687</v>
      </c>
      <c r="F60" s="2" cm="1">
        <f t="array" ref="F60">_xlfn.IFS(B60="Owner Surrender",E60,B60="Stray",E60+6,B60="Stray w/identification",E60+11,B60="Bite",E60+10,B60="Other",E60+30,B60="BAS",E60+56,B60="Seized",E60)</f>
        <v>45687</v>
      </c>
      <c r="G60" s="2">
        <v>45702</v>
      </c>
      <c r="H60" s="6">
        <f t="shared" si="4"/>
        <v>15</v>
      </c>
      <c r="I60" s="6">
        <f t="shared" si="5"/>
        <v>15</v>
      </c>
      <c r="J60" s="2" t="s">
        <v>31</v>
      </c>
      <c r="K60" s="2" t="s">
        <v>219</v>
      </c>
      <c r="L60" s="2"/>
    </row>
    <row r="61" spans="1:16" x14ac:dyDescent="0.25">
      <c r="A61" s="3">
        <v>39584</v>
      </c>
      <c r="B61" s="2" t="s">
        <v>38</v>
      </c>
      <c r="C61" t="s">
        <v>10</v>
      </c>
      <c r="D61" t="s">
        <v>210</v>
      </c>
      <c r="E61" s="2">
        <v>45687</v>
      </c>
      <c r="F61" s="2" cm="1">
        <f t="array" ref="F61">_xlfn.IFS(B61="Owner Surrender",E61,B61="Stray",E61+6,B61="Stray w/identification",E61+11,B61="Bite",E61+10,B61="Other",E61+30,B61="BAS",E61+56,B61="Seized",E61)</f>
        <v>45693</v>
      </c>
      <c r="G61" s="2">
        <v>45702</v>
      </c>
      <c r="H61" s="6">
        <f t="shared" si="4"/>
        <v>15</v>
      </c>
      <c r="I61" s="6">
        <f t="shared" si="5"/>
        <v>9</v>
      </c>
      <c r="J61" s="2" t="s">
        <v>31</v>
      </c>
    </row>
    <row r="62" spans="1:16" x14ac:dyDescent="0.25">
      <c r="A62" s="3">
        <v>39585</v>
      </c>
      <c r="B62" s="2" t="s">
        <v>38</v>
      </c>
      <c r="C62" t="s">
        <v>10</v>
      </c>
      <c r="D62" t="s">
        <v>210</v>
      </c>
      <c r="E62" s="2">
        <v>45687</v>
      </c>
      <c r="F62" s="2" cm="1">
        <f t="array" ref="F62">_xlfn.IFS(B62="Owner Surrender",E62,B62="Stray",E62+6,B62="Stray w/identification",E62+11,B62="Bite",E62+10,B62="Other",E62+30,B62="BAS",E62+56,B62="Seized",E62)</f>
        <v>45693</v>
      </c>
      <c r="G62" s="2">
        <v>45698</v>
      </c>
      <c r="H62" s="6">
        <f t="shared" si="4"/>
        <v>11</v>
      </c>
      <c r="I62" s="6">
        <f t="shared" si="5"/>
        <v>5</v>
      </c>
      <c r="J62" s="2" t="s">
        <v>31</v>
      </c>
    </row>
    <row r="63" spans="1:16" x14ac:dyDescent="0.25">
      <c r="A63" s="3">
        <v>39591</v>
      </c>
      <c r="B63" s="2" t="s">
        <v>36</v>
      </c>
      <c r="C63" t="s">
        <v>7</v>
      </c>
      <c r="D63" t="s">
        <v>208</v>
      </c>
      <c r="E63" s="2">
        <v>45689</v>
      </c>
      <c r="F63" s="2" cm="1">
        <f t="array" ref="F63">_xlfn.IFS(B63="Owner Surrender",E63,B63="Stray",E63+6,B63="Stray w/identification",E63+11,B63="Bite",E63+10,B63="Other",E63+30,B63="BAS",E63+56,B63="Seized",E63)</f>
        <v>45689</v>
      </c>
      <c r="G63" s="2">
        <v>45692</v>
      </c>
      <c r="H63" s="6">
        <f t="shared" si="4"/>
        <v>3</v>
      </c>
      <c r="I63" s="6">
        <f t="shared" si="5"/>
        <v>3</v>
      </c>
      <c r="J63" s="2" t="s">
        <v>31</v>
      </c>
      <c r="L63" s="2"/>
    </row>
    <row r="64" spans="1:16" x14ac:dyDescent="0.25">
      <c r="A64" s="3">
        <v>39592</v>
      </c>
      <c r="B64" s="2" t="s">
        <v>36</v>
      </c>
      <c r="C64" t="s">
        <v>7</v>
      </c>
      <c r="D64" t="s">
        <v>210</v>
      </c>
      <c r="E64" s="2">
        <v>45689</v>
      </c>
      <c r="F64" s="2" cm="1">
        <f t="array" ref="F64">_xlfn.IFS(B64="Owner Surrender",E64,B64="Stray",E64+6,B64="Stray w/identification",E64+11,B64="Bite",E64+10,B64="Other",E64+30,B64="BAS",E64+56,B64="Seized",E64)</f>
        <v>45689</v>
      </c>
      <c r="G64" s="2">
        <v>45692</v>
      </c>
      <c r="H64" s="6">
        <f t="shared" si="4"/>
        <v>3</v>
      </c>
      <c r="I64" s="6">
        <f t="shared" si="5"/>
        <v>3</v>
      </c>
      <c r="J64" s="2" t="s">
        <v>31</v>
      </c>
      <c r="L64" s="2"/>
    </row>
    <row r="65" spans="1:12" x14ac:dyDescent="0.25">
      <c r="A65" s="3">
        <v>39593</v>
      </c>
      <c r="B65" s="2" t="s">
        <v>36</v>
      </c>
      <c r="C65" t="s">
        <v>7</v>
      </c>
      <c r="D65" t="s">
        <v>208</v>
      </c>
      <c r="E65" s="2">
        <v>45689</v>
      </c>
      <c r="F65" s="2" cm="1">
        <f t="array" ref="F65">_xlfn.IFS(B65="Owner Surrender",E65,B65="Stray",E65+6,B65="Stray w/identification",E65+11,B65="Bite",E65+10,B65="Other",E65+30,B65="BAS",E65+56,B65="Seized",E65)</f>
        <v>45689</v>
      </c>
      <c r="G65" s="2">
        <v>45694</v>
      </c>
      <c r="H65" s="6">
        <f t="shared" si="4"/>
        <v>5</v>
      </c>
      <c r="I65" s="6">
        <f t="shared" si="5"/>
        <v>5</v>
      </c>
      <c r="J65" s="2" t="s">
        <v>31</v>
      </c>
    </row>
    <row r="66" spans="1:12" x14ac:dyDescent="0.25">
      <c r="A66" s="3">
        <v>39594</v>
      </c>
      <c r="B66" s="2" t="s">
        <v>36</v>
      </c>
      <c r="C66" t="s">
        <v>7</v>
      </c>
      <c r="D66" t="s">
        <v>210</v>
      </c>
      <c r="E66" s="2">
        <v>45689</v>
      </c>
      <c r="F66" s="2" cm="1">
        <f t="array" ref="F66">_xlfn.IFS(B66="Owner Surrender",E66,B66="Stray",E66+6,B66="Stray w/identification",E66+11,B66="Bite",E66+10,B66="Other",E66+30,B66="BAS",E66+56,B66="Seized",E66)</f>
        <v>45689</v>
      </c>
      <c r="G66" s="2">
        <v>45695</v>
      </c>
      <c r="H66" s="6">
        <f t="shared" si="4"/>
        <v>6</v>
      </c>
      <c r="I66" s="6">
        <f t="shared" si="5"/>
        <v>6</v>
      </c>
      <c r="J66" s="2" t="s">
        <v>11</v>
      </c>
    </row>
    <row r="67" spans="1:12" x14ac:dyDescent="0.25">
      <c r="A67" s="3">
        <v>39595</v>
      </c>
      <c r="B67" s="2" t="s">
        <v>38</v>
      </c>
      <c r="C67" t="s">
        <v>7</v>
      </c>
      <c r="D67" t="s">
        <v>208</v>
      </c>
      <c r="E67" s="2">
        <v>45689</v>
      </c>
      <c r="F67" s="2" cm="1">
        <f t="array" ref="F67">_xlfn.IFS(B67="Owner Surrender",E67,B67="Stray",E67+6,B67="Stray w/identification",E67+11,B67="Bite",E67+10,B67="Other",E67+30,B67="BAS",E67+56,B67="Seized",E67)</f>
        <v>45695</v>
      </c>
      <c r="G67" s="2">
        <v>45716</v>
      </c>
      <c r="H67" s="6">
        <f t="shared" si="4"/>
        <v>27</v>
      </c>
      <c r="I67" s="6">
        <f t="shared" si="5"/>
        <v>21</v>
      </c>
      <c r="J67" s="2" t="s">
        <v>11</v>
      </c>
      <c r="K67" t="s">
        <v>284</v>
      </c>
    </row>
    <row r="68" spans="1:12" x14ac:dyDescent="0.25">
      <c r="A68" s="3">
        <v>39597</v>
      </c>
      <c r="B68" s="2" t="s">
        <v>180</v>
      </c>
      <c r="C68" t="s">
        <v>7</v>
      </c>
      <c r="D68" t="s">
        <v>209</v>
      </c>
      <c r="E68" s="2">
        <v>45690</v>
      </c>
      <c r="F68" s="2" cm="1">
        <f t="array" ref="F68">_xlfn.IFS(B68="Owner Surrender",E68,B68="Stray",E68+6,B68="Stray w/identification",E68+11,B68="Bite",E68+10,B68="Other",E68+30,B68="BAS",E68+56,B68="Seized",E68)</f>
        <v>45701</v>
      </c>
      <c r="G68" s="2">
        <v>45706</v>
      </c>
      <c r="H68" s="6">
        <f t="shared" si="4"/>
        <v>16</v>
      </c>
      <c r="I68" s="6">
        <f t="shared" si="5"/>
        <v>5</v>
      </c>
      <c r="J68" s="2" t="s">
        <v>18</v>
      </c>
      <c r="K68" t="s">
        <v>285</v>
      </c>
    </row>
    <row r="69" spans="1:12" x14ac:dyDescent="0.25">
      <c r="A69" s="3">
        <v>39602</v>
      </c>
      <c r="B69" s="2" t="s">
        <v>38</v>
      </c>
      <c r="C69" t="s">
        <v>10</v>
      </c>
      <c r="D69" t="s">
        <v>209</v>
      </c>
      <c r="E69" s="2">
        <v>45691</v>
      </c>
      <c r="F69" s="2" cm="1">
        <f t="array" ref="F69">_xlfn.IFS(B69="Owner Surrender",E69,B69="Stray",E69+6,B69="Stray w/identification",E69+11,B69="Bite",E69+10,B69="Other",E69+30,B69="BAS",E69+56,B69="Seized",E69)</f>
        <v>45697</v>
      </c>
      <c r="G69" s="2">
        <v>45702</v>
      </c>
      <c r="H69" s="6">
        <f t="shared" si="4"/>
        <v>11</v>
      </c>
      <c r="I69" s="6">
        <f t="shared" si="5"/>
        <v>5</v>
      </c>
      <c r="J69" s="2" t="s">
        <v>31</v>
      </c>
      <c r="K69" t="s">
        <v>286</v>
      </c>
    </row>
    <row r="70" spans="1:12" x14ac:dyDescent="0.25">
      <c r="A70" s="3">
        <v>39607</v>
      </c>
      <c r="B70" s="2" t="s">
        <v>36</v>
      </c>
      <c r="C70" t="s">
        <v>7</v>
      </c>
      <c r="D70" t="s">
        <v>208</v>
      </c>
      <c r="E70" s="2">
        <v>45692</v>
      </c>
      <c r="F70" s="2" cm="1">
        <f t="array" ref="F70">_xlfn.IFS(B70="Owner Surrender",E70,B70="Stray",E70+6,B70="Stray w/identification",E70+11,B70="Bite",E70+10,B70="Other",E70+30,B70="BAS",E70+56,B70="Seized",E70)</f>
        <v>45692</v>
      </c>
      <c r="G70" s="2">
        <v>45702</v>
      </c>
      <c r="H70" s="6">
        <f t="shared" si="4"/>
        <v>10</v>
      </c>
      <c r="I70" s="6">
        <f t="shared" si="5"/>
        <v>10</v>
      </c>
      <c r="J70" s="2" t="s">
        <v>31</v>
      </c>
      <c r="K70" s="2"/>
    </row>
    <row r="71" spans="1:12" x14ac:dyDescent="0.25">
      <c r="A71" s="3">
        <v>39608</v>
      </c>
      <c r="B71" s="2" t="s">
        <v>38</v>
      </c>
      <c r="C71" t="s">
        <v>7</v>
      </c>
      <c r="D71" t="s">
        <v>208</v>
      </c>
      <c r="E71" s="2">
        <v>45692</v>
      </c>
      <c r="F71" s="2" cm="1">
        <f t="array" ref="F71">_xlfn.IFS(B71="Owner Surrender",E71,B71="Stray",E71+6,B71="Stray w/identification",E71+11,B71="Bite",E71+10,B71="Other",E71+30,B71="BAS",E71+56,B71="Seized",E71)</f>
        <v>45698</v>
      </c>
      <c r="G71" s="2">
        <v>45702</v>
      </c>
      <c r="H71" s="6">
        <f t="shared" si="4"/>
        <v>10</v>
      </c>
      <c r="I71" s="6">
        <f t="shared" si="5"/>
        <v>4</v>
      </c>
      <c r="J71" s="2" t="s">
        <v>31</v>
      </c>
      <c r="K71" s="2" t="s">
        <v>287</v>
      </c>
    </row>
    <row r="72" spans="1:12" x14ac:dyDescent="0.25">
      <c r="A72" s="3">
        <v>39610</v>
      </c>
      <c r="B72" s="2" t="s">
        <v>36</v>
      </c>
      <c r="C72" t="s">
        <v>7</v>
      </c>
      <c r="D72" t="s">
        <v>209</v>
      </c>
      <c r="E72" s="2">
        <v>45693</v>
      </c>
      <c r="F72" s="2" cm="1">
        <f t="array" ref="F72">_xlfn.IFS(B72="Owner Surrender",E72,B72="Stray",E72+6,B72="Stray w/identification",E72+11,B72="Bite",E72+10,B72="Other",E72+30,B72="BAS",E72+56,B72="Seized",E72)</f>
        <v>45693</v>
      </c>
      <c r="G72" s="2">
        <v>45701</v>
      </c>
      <c r="H72" s="6">
        <f t="shared" si="4"/>
        <v>8</v>
      </c>
      <c r="I72" s="6">
        <f t="shared" si="5"/>
        <v>8</v>
      </c>
      <c r="J72" s="2" t="s">
        <v>11</v>
      </c>
    </row>
    <row r="73" spans="1:12" x14ac:dyDescent="0.25">
      <c r="A73" s="3">
        <v>39611</v>
      </c>
      <c r="B73" s="2" t="s">
        <v>36</v>
      </c>
      <c r="C73" t="s">
        <v>7</v>
      </c>
      <c r="D73" t="s">
        <v>209</v>
      </c>
      <c r="E73" s="2">
        <v>45693</v>
      </c>
      <c r="F73" s="2" cm="1">
        <f t="array" ref="F73">_xlfn.IFS(B73="Owner Surrender",E73,B73="Stray",E73+6,B73="Stray w/identification",E73+11,B73="Bite",E73+10,B73="Other",E73+30,B73="BAS",E73+56,B73="Seized",E73)</f>
        <v>45693</v>
      </c>
      <c r="G73" s="2">
        <v>45740</v>
      </c>
      <c r="H73" s="6">
        <f t="shared" si="4"/>
        <v>47</v>
      </c>
      <c r="I73" s="6">
        <f t="shared" si="5"/>
        <v>47</v>
      </c>
      <c r="J73" s="2" t="s">
        <v>11</v>
      </c>
      <c r="K73" s="2"/>
    </row>
    <row r="74" spans="1:12" x14ac:dyDescent="0.25">
      <c r="A74" s="3">
        <v>39613</v>
      </c>
      <c r="B74" s="2" t="s">
        <v>36</v>
      </c>
      <c r="C74" t="s">
        <v>7</v>
      </c>
      <c r="D74" t="s">
        <v>209</v>
      </c>
      <c r="E74" s="2">
        <v>45693</v>
      </c>
      <c r="F74" s="2" cm="1">
        <f t="array" ref="F74">_xlfn.IFS(B74="Owner Surrender",E74,B74="Stray",E74+6,B74="Stray w/identification",E74+11,B74="Bite",E74+10,B74="Other",E74+30,B74="BAS",E74+56,B74="Seized",E74)</f>
        <v>45693</v>
      </c>
      <c r="G74" s="2">
        <v>45736</v>
      </c>
      <c r="H74" s="6">
        <f t="shared" si="4"/>
        <v>43</v>
      </c>
      <c r="I74" s="6">
        <f t="shared" si="5"/>
        <v>43</v>
      </c>
      <c r="J74" s="2" t="s">
        <v>11</v>
      </c>
    </row>
    <row r="75" spans="1:12" x14ac:dyDescent="0.25">
      <c r="A75" s="3">
        <v>39614</v>
      </c>
      <c r="B75" s="2" t="s">
        <v>36</v>
      </c>
      <c r="C75" t="s">
        <v>7</v>
      </c>
      <c r="D75" t="s">
        <v>208</v>
      </c>
      <c r="E75" s="2">
        <v>45694</v>
      </c>
      <c r="F75" s="2" cm="1">
        <f t="array" ref="F75">_xlfn.IFS(B75="Owner Surrender",E75,B75="Stray",E75+6,B75="Stray w/identification",E75+11,B75="Bite",E75+10,B75="Other",E75+30,B75="BAS",E75+56,B75="Seized",E75)</f>
        <v>45694</v>
      </c>
      <c r="G75" s="2">
        <v>45695</v>
      </c>
      <c r="H75" s="6">
        <f t="shared" si="4"/>
        <v>1</v>
      </c>
      <c r="I75" s="6">
        <f t="shared" si="5"/>
        <v>1</v>
      </c>
      <c r="J75" s="2" t="s">
        <v>31</v>
      </c>
      <c r="K75" s="2"/>
    </row>
    <row r="76" spans="1:12" x14ac:dyDescent="0.25">
      <c r="A76" s="3">
        <v>39615</v>
      </c>
      <c r="B76" s="2" t="s">
        <v>36</v>
      </c>
      <c r="C76" t="s">
        <v>7</v>
      </c>
      <c r="D76" t="s">
        <v>208</v>
      </c>
      <c r="E76" s="2">
        <v>45694</v>
      </c>
      <c r="F76" s="2" cm="1">
        <f t="array" ref="F76">_xlfn.IFS(B76="Owner Surrender",E76,B76="Stray",E76+6,B76="Stray w/identification",E76+11,B76="Bite",E76+10,B76="Other",E76+30,B76="BAS",E76+56,B76="Seized",E76)</f>
        <v>45694</v>
      </c>
      <c r="G76" s="2">
        <v>45695</v>
      </c>
      <c r="H76" s="6">
        <f t="shared" si="4"/>
        <v>1</v>
      </c>
      <c r="I76" s="6">
        <f t="shared" si="5"/>
        <v>1</v>
      </c>
      <c r="J76" s="2" t="s">
        <v>31</v>
      </c>
      <c r="K76" s="2"/>
      <c r="L76" s="2"/>
    </row>
    <row r="77" spans="1:12" x14ac:dyDescent="0.25">
      <c r="A77" s="3">
        <v>39616</v>
      </c>
      <c r="B77" s="2" t="s">
        <v>36</v>
      </c>
      <c r="C77" t="s">
        <v>15</v>
      </c>
      <c r="D77" t="s">
        <v>208</v>
      </c>
      <c r="E77" s="2">
        <v>45694</v>
      </c>
      <c r="F77" s="2" cm="1">
        <f t="array" ref="F77">_xlfn.IFS(B77="Owner Surrender",E77,B77="Stray",E77+6,B77="Stray w/identification",E77+11,B77="Bite",E77+10,B77="Other",E77+30,B77="BAS",E77+56,B77="Seized",E77)</f>
        <v>45694</v>
      </c>
      <c r="G77" s="2">
        <v>45695</v>
      </c>
      <c r="H77" s="6">
        <f t="shared" si="4"/>
        <v>1</v>
      </c>
      <c r="I77" s="6">
        <f t="shared" si="5"/>
        <v>1</v>
      </c>
      <c r="J77" s="2" t="s">
        <v>31</v>
      </c>
    </row>
    <row r="78" spans="1:12" x14ac:dyDescent="0.25">
      <c r="A78" s="3">
        <v>39617</v>
      </c>
      <c r="B78" s="2" t="s">
        <v>36</v>
      </c>
      <c r="C78" t="s">
        <v>7</v>
      </c>
      <c r="D78" t="s">
        <v>208</v>
      </c>
      <c r="E78" s="2">
        <v>45694</v>
      </c>
      <c r="F78" s="2" cm="1">
        <f t="array" ref="F78">_xlfn.IFS(B78="Owner Surrender",E78,B78="Stray",E78+6,B78="Stray w/identification",E78+11,B78="Bite",E78+10,B78="Other",E78+30,B78="BAS",E78+56,B78="Seized",E78)</f>
        <v>45694</v>
      </c>
      <c r="G78" s="2">
        <v>45695</v>
      </c>
      <c r="H78" s="6">
        <f t="shared" si="4"/>
        <v>1</v>
      </c>
      <c r="I78" s="6">
        <f t="shared" si="5"/>
        <v>1</v>
      </c>
      <c r="J78" s="2" t="s">
        <v>31</v>
      </c>
      <c r="K78" s="2"/>
      <c r="L78" s="2"/>
    </row>
    <row r="79" spans="1:12" x14ac:dyDescent="0.25">
      <c r="A79" s="3">
        <v>39618</v>
      </c>
      <c r="B79" s="2" t="s">
        <v>38</v>
      </c>
      <c r="C79" t="s">
        <v>7</v>
      </c>
      <c r="D79" t="s">
        <v>209</v>
      </c>
      <c r="E79" s="2">
        <v>45694</v>
      </c>
      <c r="F79" s="2" cm="1">
        <f t="array" ref="F79">_xlfn.IFS(B79="Owner Surrender",E79,B79="Stray",E79+6,B79="Stray w/identification",E79+11,B79="Bite",E79+10,B79="Other",E79+30,B79="BAS",E79+56,B79="Seized",E79)</f>
        <v>45700</v>
      </c>
      <c r="G79" s="2">
        <v>45706</v>
      </c>
      <c r="H79" s="6">
        <f t="shared" si="4"/>
        <v>12</v>
      </c>
      <c r="I79" s="6">
        <f t="shared" si="5"/>
        <v>6</v>
      </c>
      <c r="J79" s="2" t="s">
        <v>18</v>
      </c>
    </row>
    <row r="80" spans="1:12" x14ac:dyDescent="0.25">
      <c r="A80" s="3">
        <v>39620</v>
      </c>
      <c r="B80" s="2" t="s">
        <v>38</v>
      </c>
      <c r="C80" t="s">
        <v>7</v>
      </c>
      <c r="D80" t="s">
        <v>209</v>
      </c>
      <c r="E80" s="2">
        <v>45694</v>
      </c>
      <c r="F80" s="2" cm="1">
        <f t="array" ref="F80">_xlfn.IFS(B80="Owner Surrender",E80,B80="Stray",E80+6,B80="Stray w/identification",E80+11,B80="Bite",E80+10,B80="Other",E80+30,B80="BAS",E80+56,B80="Seized",E80)</f>
        <v>45700</v>
      </c>
      <c r="G80" s="2">
        <v>45706</v>
      </c>
      <c r="H80" s="6">
        <f t="shared" si="4"/>
        <v>12</v>
      </c>
      <c r="I80" s="6">
        <f t="shared" si="5"/>
        <v>6</v>
      </c>
      <c r="J80" s="2" t="s">
        <v>18</v>
      </c>
    </row>
    <row r="81" spans="1:12" x14ac:dyDescent="0.25">
      <c r="A81" s="3">
        <v>39622</v>
      </c>
      <c r="B81" s="2" t="s">
        <v>38</v>
      </c>
      <c r="C81" t="s">
        <v>7</v>
      </c>
      <c r="D81" t="s">
        <v>209</v>
      </c>
      <c r="E81" s="2">
        <v>45694</v>
      </c>
      <c r="F81" s="2" cm="1">
        <f t="array" ref="F81">_xlfn.IFS(B81="Owner Surrender",E81,B81="Stray",E81+6,B81="Stray w/identification",E81+11,B81="Bite",E81+10,B81="Other",E81+30,B81="BAS",E81+56,B81="Seized",E81)</f>
        <v>45700</v>
      </c>
      <c r="G81" s="2">
        <v>45698</v>
      </c>
      <c r="H81" s="6">
        <f t="shared" si="4"/>
        <v>4</v>
      </c>
      <c r="I81" s="6">
        <f t="shared" si="5"/>
        <v>-2</v>
      </c>
      <c r="J81" s="2" t="s">
        <v>8</v>
      </c>
    </row>
    <row r="82" spans="1:12" x14ac:dyDescent="0.25">
      <c r="A82" s="3">
        <v>39623</v>
      </c>
      <c r="B82" s="2" t="s">
        <v>38</v>
      </c>
      <c r="C82" t="s">
        <v>7</v>
      </c>
      <c r="D82" t="s">
        <v>209</v>
      </c>
      <c r="E82" s="2">
        <v>45694</v>
      </c>
      <c r="F82" s="2" cm="1">
        <f t="array" ref="F82">_xlfn.IFS(B82="Owner Surrender",E82,B82="Stray",E82+6,B82="Stray w/identification",E82+11,B82="Bite",E82+10,B82="Other",E82+30,B82="BAS",E82+56,B82="Seized",E82)</f>
        <v>45700</v>
      </c>
      <c r="G82" s="2">
        <v>45714</v>
      </c>
      <c r="H82" s="6">
        <f t="shared" si="4"/>
        <v>20</v>
      </c>
      <c r="I82" s="6">
        <f t="shared" si="5"/>
        <v>14</v>
      </c>
      <c r="J82" s="2" t="s">
        <v>31</v>
      </c>
      <c r="K82" t="s">
        <v>301</v>
      </c>
    </row>
    <row r="83" spans="1:12" x14ac:dyDescent="0.25">
      <c r="A83" s="3">
        <v>39625</v>
      </c>
      <c r="B83" s="2" t="s">
        <v>36</v>
      </c>
      <c r="C83" t="s">
        <v>7</v>
      </c>
      <c r="D83" t="s">
        <v>208</v>
      </c>
      <c r="E83" s="2">
        <v>45695</v>
      </c>
      <c r="F83" s="2" cm="1">
        <f t="array" ref="F83">_xlfn.IFS(B83="Owner Surrender",E83,B83="Stray",E83+6,B83="Stray w/identification",E83+11,B83="Bite",E83+10,B83="Other",E83+30,B83="BAS",E83+56,B83="Seized",E83)</f>
        <v>45695</v>
      </c>
      <c r="G83" s="2">
        <v>45698</v>
      </c>
      <c r="H83" s="6">
        <f t="shared" si="4"/>
        <v>3</v>
      </c>
      <c r="I83" s="6">
        <f t="shared" si="5"/>
        <v>3</v>
      </c>
      <c r="J83" s="2" t="s">
        <v>31</v>
      </c>
    </row>
    <row r="84" spans="1:12" x14ac:dyDescent="0.25">
      <c r="A84" s="3">
        <v>39627</v>
      </c>
      <c r="B84" s="2" t="s">
        <v>36</v>
      </c>
      <c r="C84" t="s">
        <v>7</v>
      </c>
      <c r="D84" t="s">
        <v>208</v>
      </c>
      <c r="E84" s="2">
        <v>45695</v>
      </c>
      <c r="F84" s="2" cm="1">
        <f t="array" ref="F84">_xlfn.IFS(B84="Owner Surrender",E84,B84="Stray",E84+6,B84="Stray w/identification",E84+11,B84="Bite",E84+10,B84="Other",E84+30,B84="BAS",E84+56,B84="Seized",E84)</f>
        <v>45695</v>
      </c>
      <c r="G84" s="2">
        <v>45698</v>
      </c>
      <c r="H84" s="6">
        <f t="shared" si="4"/>
        <v>3</v>
      </c>
      <c r="I84" s="6">
        <f t="shared" si="5"/>
        <v>3</v>
      </c>
      <c r="J84" s="2" t="s">
        <v>31</v>
      </c>
    </row>
    <row r="85" spans="1:12" x14ac:dyDescent="0.25">
      <c r="A85" s="3">
        <v>39628</v>
      </c>
      <c r="B85" s="2" t="s">
        <v>36</v>
      </c>
      <c r="C85" t="s">
        <v>7</v>
      </c>
      <c r="D85" t="s">
        <v>208</v>
      </c>
      <c r="E85" s="2">
        <v>45695</v>
      </c>
      <c r="F85" s="2" cm="1">
        <f t="array" ref="F85">_xlfn.IFS(B85="Owner Surrender",E85,B85="Stray",E85+6,B85="Stray w/identification",E85+11,B85="Bite",E85+10,B85="Other",E85+30,B85="BAS",E85+56,B85="Seized",E85)</f>
        <v>45695</v>
      </c>
      <c r="G85" s="2">
        <v>45698</v>
      </c>
      <c r="H85" s="6">
        <f t="shared" si="4"/>
        <v>3</v>
      </c>
      <c r="I85" s="6">
        <f t="shared" si="5"/>
        <v>3</v>
      </c>
      <c r="J85" s="2" t="s">
        <v>31</v>
      </c>
      <c r="L85" s="2"/>
    </row>
    <row r="86" spans="1:12" x14ac:dyDescent="0.25">
      <c r="A86" s="3">
        <v>39631</v>
      </c>
      <c r="B86" s="2" t="s">
        <v>38</v>
      </c>
      <c r="C86" t="s">
        <v>7</v>
      </c>
      <c r="D86" t="s">
        <v>208</v>
      </c>
      <c r="E86" s="2">
        <v>45696</v>
      </c>
      <c r="F86" s="2" cm="1">
        <f t="array" ref="F86">_xlfn.IFS(B86="Owner Surrender",E86,B86="Stray",E86+6,B86="Stray w/identification",E86+11,B86="Bite",E86+10,B86="Other",E86+30,B86="BAS",E86+56,B86="Seized",E86)</f>
        <v>45702</v>
      </c>
      <c r="G86" s="2">
        <v>45714</v>
      </c>
      <c r="H86" s="6">
        <f t="shared" si="4"/>
        <v>18</v>
      </c>
      <c r="I86" s="6">
        <f t="shared" si="5"/>
        <v>12</v>
      </c>
      <c r="J86" s="2" t="s">
        <v>31</v>
      </c>
    </row>
    <row r="87" spans="1:12" x14ac:dyDescent="0.25">
      <c r="A87" s="3">
        <v>39632</v>
      </c>
      <c r="B87" s="2" t="s">
        <v>38</v>
      </c>
      <c r="C87" t="s">
        <v>7</v>
      </c>
      <c r="D87" t="s">
        <v>208</v>
      </c>
      <c r="E87" s="2">
        <v>45696</v>
      </c>
      <c r="F87" s="2" cm="1">
        <f t="array" ref="F87">_xlfn.IFS(B87="Owner Surrender",E87,B87="Stray",E87+6,B87="Stray w/identification",E87+11,B87="Bite",E87+10,B87="Other",E87+30,B87="BAS",E87+56,B87="Seized",E87)</f>
        <v>45702</v>
      </c>
      <c r="G87" s="2">
        <v>45706</v>
      </c>
      <c r="H87" s="6">
        <f t="shared" si="4"/>
        <v>10</v>
      </c>
      <c r="I87" s="6">
        <f t="shared" si="5"/>
        <v>4</v>
      </c>
      <c r="J87" s="2" t="s">
        <v>18</v>
      </c>
    </row>
    <row r="88" spans="1:12" x14ac:dyDescent="0.25">
      <c r="A88" s="3">
        <v>39633</v>
      </c>
      <c r="B88" s="2" t="s">
        <v>36</v>
      </c>
      <c r="C88" t="s">
        <v>7</v>
      </c>
      <c r="D88" t="s">
        <v>208</v>
      </c>
      <c r="E88" s="2">
        <v>45696</v>
      </c>
      <c r="F88" s="2" cm="1">
        <f t="array" ref="F88">_xlfn.IFS(B88="Owner Surrender",E88,B88="Stray",E88+6,B88="Stray w/identification",E88+11,B88="Bite",E88+10,B88="Other",E88+30,B88="BAS",E88+56,B88="Seized",E88)</f>
        <v>45696</v>
      </c>
      <c r="G88" s="2">
        <v>45698</v>
      </c>
      <c r="H88" s="6">
        <f t="shared" si="4"/>
        <v>2</v>
      </c>
      <c r="I88" s="6">
        <f t="shared" si="5"/>
        <v>2</v>
      </c>
      <c r="J88" s="2" t="s">
        <v>31</v>
      </c>
      <c r="K88" t="s">
        <v>300</v>
      </c>
    </row>
    <row r="89" spans="1:12" x14ac:dyDescent="0.25">
      <c r="A89" s="3">
        <v>39634</v>
      </c>
      <c r="B89" s="2" t="s">
        <v>36</v>
      </c>
      <c r="C89" t="s">
        <v>7</v>
      </c>
      <c r="D89" t="s">
        <v>209</v>
      </c>
      <c r="E89" s="2">
        <v>45696</v>
      </c>
      <c r="F89" s="2" cm="1">
        <f t="array" ref="F89">_xlfn.IFS(B89="Owner Surrender",E89,B89="Stray",E89+6,B89="Stray w/identification",E89+11,B89="Bite",E89+10,B89="Other",E89+30,B89="BAS",E89+56,B89="Seized",E89)</f>
        <v>45696</v>
      </c>
      <c r="G89" s="2">
        <v>45698</v>
      </c>
      <c r="H89" s="6">
        <f t="shared" si="4"/>
        <v>2</v>
      </c>
      <c r="I89" s="6">
        <f t="shared" si="5"/>
        <v>2</v>
      </c>
      <c r="J89" s="2" t="s">
        <v>31</v>
      </c>
    </row>
    <row r="90" spans="1:12" x14ac:dyDescent="0.25">
      <c r="A90" s="3">
        <v>39635</v>
      </c>
      <c r="B90" s="2" t="s">
        <v>36</v>
      </c>
      <c r="C90" t="s">
        <v>7</v>
      </c>
      <c r="D90" t="s">
        <v>209</v>
      </c>
      <c r="E90" s="2">
        <v>45696</v>
      </c>
      <c r="F90" s="2" cm="1">
        <f t="array" ref="F90">_xlfn.IFS(B90="Owner Surrender",E90,B90="Stray",E90+6,B90="Stray w/identification",E90+11,B90="Bite",E90+10,B90="Other",E90+30,B90="BAS",E90+56,B90="Seized",E90)</f>
        <v>45696</v>
      </c>
      <c r="G90" s="2">
        <v>45698</v>
      </c>
      <c r="H90" s="6">
        <f t="shared" si="4"/>
        <v>2</v>
      </c>
      <c r="I90" s="6">
        <f t="shared" si="5"/>
        <v>2</v>
      </c>
      <c r="J90" s="2" t="s">
        <v>31</v>
      </c>
    </row>
    <row r="91" spans="1:12" x14ac:dyDescent="0.25">
      <c r="A91" s="3">
        <v>39636</v>
      </c>
      <c r="B91" s="2" t="s">
        <v>36</v>
      </c>
      <c r="C91" t="s">
        <v>7</v>
      </c>
      <c r="D91" t="s">
        <v>209</v>
      </c>
      <c r="E91" s="2">
        <v>45696</v>
      </c>
      <c r="F91" s="2" cm="1">
        <f t="array" ref="F91">_xlfn.IFS(B91="Owner Surrender",E91,B91="Stray",E91+6,B91="Stray w/identification",E91+11,B91="Bite",E91+10,B91="Other",E91+30,B91="BAS",E91+56,B91="Seized",E91)</f>
        <v>45696</v>
      </c>
      <c r="G91" s="2">
        <v>45698</v>
      </c>
      <c r="H91" s="6">
        <f t="shared" si="4"/>
        <v>2</v>
      </c>
      <c r="I91" s="6">
        <f t="shared" ref="I91:I122" si="6">G91-F91</f>
        <v>2</v>
      </c>
      <c r="J91" s="2" t="s">
        <v>31</v>
      </c>
    </row>
    <row r="92" spans="1:12" x14ac:dyDescent="0.25">
      <c r="A92" s="3">
        <v>39648</v>
      </c>
      <c r="B92" s="2" t="s">
        <v>180</v>
      </c>
      <c r="C92" t="s">
        <v>7</v>
      </c>
      <c r="D92" t="s">
        <v>208</v>
      </c>
      <c r="E92" s="2">
        <v>45699</v>
      </c>
      <c r="F92" s="2" cm="1">
        <f t="array" ref="F92">_xlfn.IFS(B92="Owner Surrender",E92,B92="Stray",E92+6,B92="Stray w/identification",E92+11,B92="Bite",E92+10,B92="Other",E92+30,B92="BAS",E92+56,B92="Seized",E92)</f>
        <v>45710</v>
      </c>
      <c r="G92" s="2">
        <v>45714</v>
      </c>
      <c r="H92" s="6">
        <f t="shared" si="4"/>
        <v>15</v>
      </c>
      <c r="I92" s="6">
        <f t="shared" si="6"/>
        <v>4</v>
      </c>
      <c r="J92" s="2" t="s">
        <v>31</v>
      </c>
      <c r="K92" t="s">
        <v>298</v>
      </c>
      <c r="L92" t="s">
        <v>299</v>
      </c>
    </row>
    <row r="93" spans="1:12" x14ac:dyDescent="0.25">
      <c r="A93" s="3">
        <v>39650</v>
      </c>
      <c r="B93" s="2" t="s">
        <v>36</v>
      </c>
      <c r="C93" t="s">
        <v>7</v>
      </c>
      <c r="D93" t="s">
        <v>208</v>
      </c>
      <c r="E93" s="2">
        <v>45700</v>
      </c>
      <c r="F93" s="2" cm="1">
        <f t="array" ref="F93">_xlfn.IFS(B93="Owner Surrender",E93,B93="Stray",E93+6,B93="Stray w/identification",E93+11,B93="Bite",E93+10,B93="Other",E93+30,B93="BAS",E93+56,B93="Seized",E93)</f>
        <v>45700</v>
      </c>
      <c r="G93" s="2">
        <v>45706</v>
      </c>
      <c r="H93" s="6">
        <f t="shared" si="4"/>
        <v>6</v>
      </c>
      <c r="I93" s="6">
        <f t="shared" si="6"/>
        <v>6</v>
      </c>
      <c r="J93" s="2" t="s">
        <v>18</v>
      </c>
    </row>
    <row r="94" spans="1:12" x14ac:dyDescent="0.25">
      <c r="A94" s="3">
        <v>39651</v>
      </c>
      <c r="B94" s="2" t="s">
        <v>36</v>
      </c>
      <c r="C94" t="s">
        <v>10</v>
      </c>
      <c r="D94" t="s">
        <v>210</v>
      </c>
      <c r="E94" s="2">
        <v>45700</v>
      </c>
      <c r="F94" s="2" cm="1">
        <f t="array" ref="F94">_xlfn.IFS(B94="Owner Surrender",E94,B94="Stray",E94+6,B94="Stray w/identification",E94+11,B94="Bite",E94+10,B94="Other",E94+30,B94="BAS",E94+56,B94="Seized",E94)</f>
        <v>45700</v>
      </c>
      <c r="G94" s="2">
        <v>45706</v>
      </c>
      <c r="H94" s="6">
        <f t="shared" si="4"/>
        <v>6</v>
      </c>
      <c r="I94" s="6">
        <f t="shared" si="6"/>
        <v>6</v>
      </c>
      <c r="J94" s="2" t="s">
        <v>18</v>
      </c>
    </row>
    <row r="95" spans="1:12" x14ac:dyDescent="0.25">
      <c r="A95" s="3">
        <v>39656</v>
      </c>
      <c r="B95" s="2" t="s">
        <v>36</v>
      </c>
      <c r="C95" t="s">
        <v>7</v>
      </c>
      <c r="D95" t="s">
        <v>210</v>
      </c>
      <c r="E95" s="2">
        <v>45701</v>
      </c>
      <c r="F95" s="2" cm="1">
        <f t="array" ref="F95">_xlfn.IFS(B95="Owner Surrender",E95,B95="Stray",E95+6,B95="Stray w/identification",E95+11,B95="Bite",E95+10,B95="Other",E95+30,B95="BAS",E95+56,B95="Seized",E95)</f>
        <v>45701</v>
      </c>
      <c r="G95" s="2">
        <v>45710</v>
      </c>
      <c r="H95" s="6">
        <f t="shared" si="4"/>
        <v>9</v>
      </c>
      <c r="I95" s="6">
        <f t="shared" si="6"/>
        <v>9</v>
      </c>
      <c r="J95" s="2" t="s">
        <v>31</v>
      </c>
      <c r="L95" t="s">
        <v>297</v>
      </c>
    </row>
    <row r="96" spans="1:12" x14ac:dyDescent="0.25">
      <c r="A96" s="3">
        <v>39658</v>
      </c>
      <c r="B96" s="2" t="s">
        <v>36</v>
      </c>
      <c r="C96" t="s">
        <v>10</v>
      </c>
      <c r="D96" t="s">
        <v>210</v>
      </c>
      <c r="E96" s="2">
        <v>45702</v>
      </c>
      <c r="F96" s="2" cm="1">
        <f t="array" ref="F96">_xlfn.IFS(B96="Owner Surrender",E96,B96="Stray",E96+6,B96="Stray w/identification",E96+11,B96="Bite",E96+10,B96="Other",E96+30,B96="BAS",E96+56,B96="Seized",E96)</f>
        <v>45702</v>
      </c>
      <c r="G96" s="2">
        <v>45706</v>
      </c>
      <c r="H96" s="6">
        <f t="shared" si="4"/>
        <v>4</v>
      </c>
      <c r="I96" s="6">
        <f t="shared" si="6"/>
        <v>4</v>
      </c>
      <c r="J96" s="2" t="s">
        <v>18</v>
      </c>
    </row>
    <row r="97" spans="1:12" x14ac:dyDescent="0.25">
      <c r="A97" s="3">
        <v>39659</v>
      </c>
      <c r="B97" s="2" t="s">
        <v>36</v>
      </c>
      <c r="C97" t="s">
        <v>10</v>
      </c>
      <c r="D97" t="s">
        <v>210</v>
      </c>
      <c r="E97" s="2">
        <v>45702</v>
      </c>
      <c r="F97" s="2" cm="1">
        <f t="array" ref="F97">_xlfn.IFS(B97="Owner Surrender",E97,B97="Stray",E97+6,B97="Stray w/identification",E97+11,B97="Bite",E97+10,B97="Other",E97+30,B97="BAS",E97+56,B97="Seized",E97)</f>
        <v>45702</v>
      </c>
      <c r="G97" s="2">
        <v>45706</v>
      </c>
      <c r="H97" s="6">
        <f t="shared" si="4"/>
        <v>4</v>
      </c>
      <c r="I97" s="6">
        <f t="shared" si="6"/>
        <v>4</v>
      </c>
      <c r="J97" s="2" t="s">
        <v>18</v>
      </c>
    </row>
    <row r="98" spans="1:12" x14ac:dyDescent="0.25">
      <c r="A98" s="3">
        <v>39662</v>
      </c>
      <c r="B98" s="2" t="s">
        <v>38</v>
      </c>
      <c r="C98" t="s">
        <v>7</v>
      </c>
      <c r="D98" t="s">
        <v>208</v>
      </c>
      <c r="E98" s="2">
        <v>45703</v>
      </c>
      <c r="F98" s="2" cm="1">
        <f t="array" ref="F98">_xlfn.IFS(B98="Owner Surrender",E98,B98="Stray",E98+6,B98="Stray w/identification",E98+11,B98="Bite",E98+10,B98="Other",E98+30,B98="BAS",E98+56,B98="Seized",E98)</f>
        <v>45709</v>
      </c>
      <c r="G98" s="2">
        <v>45716</v>
      </c>
      <c r="H98" s="6">
        <f t="shared" si="4"/>
        <v>13</v>
      </c>
      <c r="I98" s="6">
        <f t="shared" si="6"/>
        <v>7</v>
      </c>
      <c r="J98" s="2" t="s">
        <v>31</v>
      </c>
      <c r="K98" t="s">
        <v>296</v>
      </c>
    </row>
    <row r="99" spans="1:12" x14ac:dyDescent="0.25">
      <c r="A99" s="3">
        <v>39668</v>
      </c>
      <c r="B99" s="2" t="s">
        <v>36</v>
      </c>
      <c r="C99" t="s">
        <v>7</v>
      </c>
      <c r="D99" t="s">
        <v>208</v>
      </c>
      <c r="E99" s="2">
        <v>45705</v>
      </c>
      <c r="F99" s="2" cm="1">
        <f t="array" ref="F99">_xlfn.IFS(B99="Owner Surrender",E99,B99="Stray",E99+6,B99="Stray w/identification",E99+11,B99="Bite",E99+10,B99="Other",E99+30,B99="BAS",E99+56,B99="Seized",E99)</f>
        <v>45705</v>
      </c>
      <c r="G99" s="2">
        <v>45706</v>
      </c>
      <c r="H99" s="6">
        <f t="shared" si="4"/>
        <v>1</v>
      </c>
      <c r="I99" s="6">
        <f t="shared" si="6"/>
        <v>1</v>
      </c>
      <c r="J99" s="2" t="s">
        <v>18</v>
      </c>
      <c r="K99" t="s">
        <v>294</v>
      </c>
      <c r="L99" t="s">
        <v>295</v>
      </c>
    </row>
    <row r="100" spans="1:12" x14ac:dyDescent="0.25">
      <c r="A100" s="3">
        <v>39669</v>
      </c>
      <c r="B100" s="2" t="s">
        <v>36</v>
      </c>
      <c r="C100" t="s">
        <v>7</v>
      </c>
      <c r="D100" t="s">
        <v>208</v>
      </c>
      <c r="E100" s="2">
        <v>45705</v>
      </c>
      <c r="F100" s="2" cm="1">
        <f t="array" ref="F100">_xlfn.IFS(B100="Owner Surrender",E100,B100="Stray",E100+6,B100="Stray w/identification",E100+11,B100="Bite",E100+10,B100="Other",E100+30,B100="BAS",E100+56,B100="Seized",E100)</f>
        <v>45705</v>
      </c>
      <c r="G100" s="2">
        <v>45706</v>
      </c>
      <c r="H100" s="6">
        <f t="shared" si="4"/>
        <v>1</v>
      </c>
      <c r="I100" s="6">
        <f t="shared" si="6"/>
        <v>1</v>
      </c>
      <c r="J100" s="2" t="s">
        <v>31</v>
      </c>
      <c r="K100" t="s">
        <v>293</v>
      </c>
    </row>
    <row r="101" spans="1:12" x14ac:dyDescent="0.25">
      <c r="A101" s="3">
        <v>39670</v>
      </c>
      <c r="B101" s="2" t="s">
        <v>36</v>
      </c>
      <c r="C101" t="s">
        <v>7</v>
      </c>
      <c r="D101" t="s">
        <v>208</v>
      </c>
      <c r="E101" s="2">
        <v>45705</v>
      </c>
      <c r="F101" s="2" cm="1">
        <f t="array" ref="F101">_xlfn.IFS(B101="Owner Surrender",E101,B101="Stray",E101+6,B101="Stray w/identification",E101+11,B101="Bite",E101+10,B101="Other",E101+30,B101="BAS",E101+56,B101="Seized",E101)</f>
        <v>45705</v>
      </c>
      <c r="G101" s="2">
        <v>45710</v>
      </c>
      <c r="H101" s="6">
        <f t="shared" si="4"/>
        <v>5</v>
      </c>
      <c r="I101" s="6">
        <f t="shared" si="6"/>
        <v>5</v>
      </c>
      <c r="J101" s="2" t="s">
        <v>31</v>
      </c>
      <c r="K101" t="s">
        <v>292</v>
      </c>
    </row>
    <row r="102" spans="1:12" x14ac:dyDescent="0.25">
      <c r="A102" s="3">
        <v>39671</v>
      </c>
      <c r="B102" s="2" t="s">
        <v>36</v>
      </c>
      <c r="C102" t="s">
        <v>7</v>
      </c>
      <c r="D102" t="s">
        <v>211</v>
      </c>
      <c r="E102" s="2">
        <v>45705</v>
      </c>
      <c r="F102" s="2" cm="1">
        <f t="array" ref="F102">_xlfn.IFS(B102="Owner Surrender",E102,B102="Stray",E102+6,B102="Stray w/identification",E102+11,B102="Bite",E102+10,B102="Other",E102+30,B102="BAS",E102+56,B102="Seized",E102)</f>
        <v>45705</v>
      </c>
      <c r="G102" s="2">
        <v>45710</v>
      </c>
      <c r="H102" s="6">
        <f t="shared" si="4"/>
        <v>5</v>
      </c>
      <c r="I102" s="6">
        <f t="shared" si="6"/>
        <v>5</v>
      </c>
      <c r="J102" s="2" t="s">
        <v>31</v>
      </c>
      <c r="K102" t="s">
        <v>291</v>
      </c>
    </row>
    <row r="103" spans="1:12" x14ac:dyDescent="0.25">
      <c r="A103" s="3">
        <v>39672</v>
      </c>
      <c r="B103" s="2" t="s">
        <v>36</v>
      </c>
      <c r="C103" t="s">
        <v>15</v>
      </c>
      <c r="D103" t="s">
        <v>208</v>
      </c>
      <c r="E103" s="2">
        <v>45705</v>
      </c>
      <c r="F103" s="2" cm="1">
        <f t="array" ref="F103">_xlfn.IFS(B103="Owner Surrender",E103,B103="Stray",E103+6,B103="Stray w/identification",E103+11,B103="Bite",E103+10,B103="Other",E103+30,B103="BAS",E103+56,B103="Seized",E103)</f>
        <v>45705</v>
      </c>
      <c r="G103" s="2">
        <v>45708</v>
      </c>
      <c r="H103" s="6">
        <f t="shared" si="4"/>
        <v>3</v>
      </c>
      <c r="I103" s="6">
        <f t="shared" si="6"/>
        <v>3</v>
      </c>
      <c r="J103" s="2" t="s">
        <v>31</v>
      </c>
      <c r="K103" s="2"/>
      <c r="L103" t="s">
        <v>33</v>
      </c>
    </row>
    <row r="104" spans="1:12" x14ac:dyDescent="0.25">
      <c r="A104" s="3">
        <v>39676</v>
      </c>
      <c r="B104" s="2" t="s">
        <v>38</v>
      </c>
      <c r="C104" t="s">
        <v>7</v>
      </c>
      <c r="D104" t="s">
        <v>209</v>
      </c>
      <c r="E104" s="2">
        <v>45705</v>
      </c>
      <c r="F104" s="2" cm="1">
        <f t="array" ref="F104">_xlfn.IFS(B104="Owner Surrender",E104,B104="Stray",E104+6,B104="Stray w/identification",E104+11,B104="Bite",E104+10,B104="Other",E104+30,B104="BAS",E104+56,B104="Seized",E104)</f>
        <v>45711</v>
      </c>
      <c r="G104" s="2">
        <v>45714</v>
      </c>
      <c r="H104" s="6">
        <f t="shared" ref="H104:H167" si="7">+G104-E104</f>
        <v>9</v>
      </c>
      <c r="I104" s="6">
        <f t="shared" si="6"/>
        <v>3</v>
      </c>
      <c r="J104" s="2" t="s">
        <v>31</v>
      </c>
    </row>
    <row r="105" spans="1:12" x14ac:dyDescent="0.25">
      <c r="A105" s="3">
        <v>39677</v>
      </c>
      <c r="B105" s="2" t="s">
        <v>36</v>
      </c>
      <c r="C105" t="s">
        <v>7</v>
      </c>
      <c r="D105" t="s">
        <v>208</v>
      </c>
      <c r="E105" s="2">
        <v>45706</v>
      </c>
      <c r="F105" s="2" cm="1">
        <f t="array" ref="F105">_xlfn.IFS(B105="Owner Surrender",E105,B105="Stray",E105+6,B105="Stray w/identification",E105+11,B105="Bite",E105+10,B105="Other",E105+30,B105="BAS",E105+56,B105="Seized",E105)</f>
        <v>45706</v>
      </c>
      <c r="G105" s="2">
        <v>45716</v>
      </c>
      <c r="H105" s="6">
        <f t="shared" si="7"/>
        <v>10</v>
      </c>
      <c r="I105" s="6">
        <f t="shared" si="6"/>
        <v>10</v>
      </c>
      <c r="J105" s="2" t="s">
        <v>31</v>
      </c>
      <c r="K105" s="2" t="s">
        <v>99</v>
      </c>
    </row>
    <row r="106" spans="1:12" x14ac:dyDescent="0.25">
      <c r="A106" s="3">
        <v>39697</v>
      </c>
      <c r="B106" s="2" t="s">
        <v>38</v>
      </c>
      <c r="C106" t="s">
        <v>7</v>
      </c>
      <c r="D106" t="s">
        <v>209</v>
      </c>
      <c r="E106" s="2">
        <v>45710</v>
      </c>
      <c r="F106" s="2" cm="1">
        <f t="array" ref="F106">_xlfn.IFS(B106="Owner Surrender",E106,B106="Stray",E106+6,B106="Stray w/identification",E106+11,B106="Bite",E106+10,B106="Other",E106+30,B106="BAS",E106+56,B106="Seized",E106)</f>
        <v>45716</v>
      </c>
      <c r="G106" s="2">
        <v>45716</v>
      </c>
      <c r="H106" s="6">
        <f t="shared" si="7"/>
        <v>6</v>
      </c>
      <c r="I106" s="6">
        <f t="shared" si="6"/>
        <v>0</v>
      </c>
      <c r="J106" s="2" t="s">
        <v>31</v>
      </c>
      <c r="L106" t="s">
        <v>290</v>
      </c>
    </row>
    <row r="107" spans="1:12" x14ac:dyDescent="0.25">
      <c r="A107" s="3">
        <v>39698</v>
      </c>
      <c r="B107" s="2" t="s">
        <v>38</v>
      </c>
      <c r="C107" t="s">
        <v>7</v>
      </c>
      <c r="D107" t="s">
        <v>209</v>
      </c>
      <c r="E107" s="2">
        <v>45710</v>
      </c>
      <c r="F107" s="2" cm="1">
        <f t="array" ref="F107">_xlfn.IFS(B107="Owner Surrender",E107,B107="Stray",E107+6,B107="Stray w/identification",E107+11,B107="Bite",E107+10,B107="Other",E107+30,B107="BAS",E107+56,B107="Seized",E107)</f>
        <v>45716</v>
      </c>
      <c r="G107" s="2">
        <v>45716</v>
      </c>
      <c r="H107" s="6">
        <f t="shared" si="7"/>
        <v>6</v>
      </c>
      <c r="I107" s="6">
        <f t="shared" si="6"/>
        <v>0</v>
      </c>
      <c r="J107" s="2" t="s">
        <v>31</v>
      </c>
      <c r="K107" s="2"/>
      <c r="L107" t="s">
        <v>290</v>
      </c>
    </row>
    <row r="108" spans="1:12" x14ac:dyDescent="0.25">
      <c r="A108" s="3">
        <v>39704</v>
      </c>
      <c r="B108" s="2" t="s">
        <v>38</v>
      </c>
      <c r="C108" t="s">
        <v>7</v>
      </c>
      <c r="D108" t="s">
        <v>208</v>
      </c>
      <c r="E108" s="2">
        <v>45711</v>
      </c>
      <c r="F108" s="2" cm="1">
        <f t="array" ref="F108">_xlfn.IFS(B108="Owner Surrender",E108,B108="Stray",E108+6,B108="Stray w/identification",E108+11,B108="Bite",E108+10,B108="Other",E108+30,B108="BAS",E108+56,B108="Seized",E108)</f>
        <v>45717</v>
      </c>
      <c r="G108" s="2">
        <v>45720</v>
      </c>
      <c r="H108" s="6">
        <f t="shared" si="7"/>
        <v>9</v>
      </c>
      <c r="I108" s="6">
        <f t="shared" si="6"/>
        <v>3</v>
      </c>
      <c r="J108" s="2" t="s">
        <v>31</v>
      </c>
      <c r="K108" s="2"/>
    </row>
    <row r="109" spans="1:12" x14ac:dyDescent="0.25">
      <c r="A109" s="3">
        <v>39714</v>
      </c>
      <c r="B109" s="2" t="s">
        <v>36</v>
      </c>
      <c r="C109" t="s">
        <v>7</v>
      </c>
      <c r="D109" t="s">
        <v>208</v>
      </c>
      <c r="E109" s="2">
        <v>45712</v>
      </c>
      <c r="F109" s="2" cm="1">
        <f t="array" ref="F109">_xlfn.IFS(B109="Owner Surrender",E109,B109="Stray",E109+6,B109="Stray w/identification",E109+11,B109="Bite",E109+10,B109="Other",E109+30,B109="BAS",E109+56,B109="Seized",E109)</f>
        <v>45712</v>
      </c>
      <c r="G109" s="2">
        <v>45719</v>
      </c>
      <c r="H109" s="6">
        <f t="shared" si="7"/>
        <v>7</v>
      </c>
      <c r="I109" s="6">
        <f t="shared" si="6"/>
        <v>7</v>
      </c>
      <c r="J109" s="2" t="s">
        <v>31</v>
      </c>
      <c r="K109" s="2" t="s">
        <v>289</v>
      </c>
    </row>
    <row r="110" spans="1:12" x14ac:dyDescent="0.25">
      <c r="A110" s="3">
        <v>39719</v>
      </c>
      <c r="B110" s="2" t="s">
        <v>38</v>
      </c>
      <c r="C110" t="s">
        <v>7</v>
      </c>
      <c r="D110" t="s">
        <v>208</v>
      </c>
      <c r="E110" s="2">
        <v>45712</v>
      </c>
      <c r="F110" s="2" cm="1">
        <f t="array" ref="F110">_xlfn.IFS(B110="Owner Surrender",E110,B110="Stray",E110+6,B110="Stray w/identification",E110+11,B110="Bite",E110+10,B110="Other",E110+30,B110="BAS",E110+56,B110="Seized",E110)</f>
        <v>45718</v>
      </c>
      <c r="G110" s="2">
        <v>45720</v>
      </c>
      <c r="H110" s="6">
        <f t="shared" si="7"/>
        <v>8</v>
      </c>
      <c r="I110" s="6">
        <f t="shared" si="6"/>
        <v>2</v>
      </c>
      <c r="J110" s="2" t="s">
        <v>31</v>
      </c>
      <c r="K110" s="2"/>
    </row>
    <row r="111" spans="1:12" x14ac:dyDescent="0.25">
      <c r="A111" s="3">
        <v>39723</v>
      </c>
      <c r="B111" s="2" t="s">
        <v>38</v>
      </c>
      <c r="C111" t="s">
        <v>7</v>
      </c>
      <c r="D111" t="s">
        <v>209</v>
      </c>
      <c r="E111" s="2">
        <v>45712</v>
      </c>
      <c r="F111" s="2" cm="1">
        <f t="array" ref="F111">_xlfn.IFS(B111="Owner Surrender",E111,B111="Stray",E111+6,B111="Stray w/identification",E111+11,B111="Bite",E111+10,B111="Other",E111+30,B111="BAS",E111+56,B111="Seized",E111)</f>
        <v>45718</v>
      </c>
      <c r="G111" s="2">
        <v>45722</v>
      </c>
      <c r="H111" s="6">
        <f t="shared" si="7"/>
        <v>10</v>
      </c>
      <c r="I111" s="6">
        <f t="shared" si="6"/>
        <v>4</v>
      </c>
      <c r="J111" s="2" t="s">
        <v>18</v>
      </c>
    </row>
    <row r="112" spans="1:12" x14ac:dyDescent="0.25">
      <c r="A112" s="3">
        <v>39724</v>
      </c>
      <c r="B112" s="2" t="s">
        <v>38</v>
      </c>
      <c r="C112" t="s">
        <v>7</v>
      </c>
      <c r="D112" t="s">
        <v>209</v>
      </c>
      <c r="E112" s="2">
        <v>45712</v>
      </c>
      <c r="F112" s="2" cm="1">
        <f t="array" ref="F112">_xlfn.IFS(B112="Owner Surrender",E112,B112="Stray",E112+6,B112="Stray w/identification",E112+11,B112="Bite",E112+10,B112="Other",E112+30,B112="BAS",E112+56,B112="Seized",E112)</f>
        <v>45718</v>
      </c>
      <c r="G112" s="2">
        <v>45722</v>
      </c>
      <c r="H112" s="6">
        <f t="shared" si="7"/>
        <v>10</v>
      </c>
      <c r="I112" s="6">
        <f t="shared" si="6"/>
        <v>4</v>
      </c>
      <c r="J112" s="2" t="s">
        <v>18</v>
      </c>
      <c r="K112" t="s">
        <v>321</v>
      </c>
    </row>
    <row r="113" spans="1:12" x14ac:dyDescent="0.25">
      <c r="A113" s="3">
        <v>39728</v>
      </c>
      <c r="B113" s="2" t="s">
        <v>36</v>
      </c>
      <c r="C113" t="s">
        <v>7</v>
      </c>
      <c r="D113" t="s">
        <v>209</v>
      </c>
      <c r="E113" s="2">
        <v>45713</v>
      </c>
      <c r="F113" s="2" cm="1">
        <f t="array" ref="F113">_xlfn.IFS(B113="Owner Surrender",E113,B113="Stray",E113+6,B113="Stray w/identification",E113+11,B113="Bite",E113+10,B113="Other",E113+30,B113="BAS",E113+56,B113="Seized",E113)</f>
        <v>45713</v>
      </c>
      <c r="G113" s="2">
        <v>45722</v>
      </c>
      <c r="H113" s="6">
        <f t="shared" si="7"/>
        <v>9</v>
      </c>
      <c r="I113" s="6">
        <f t="shared" si="6"/>
        <v>9</v>
      </c>
      <c r="J113" s="2" t="s">
        <v>18</v>
      </c>
      <c r="K113" t="s">
        <v>320</v>
      </c>
    </row>
    <row r="114" spans="1:12" x14ac:dyDescent="0.25">
      <c r="A114" s="3">
        <v>39729</v>
      </c>
      <c r="B114" s="2" t="s">
        <v>36</v>
      </c>
      <c r="C114" t="s">
        <v>7</v>
      </c>
      <c r="D114" t="s">
        <v>208</v>
      </c>
      <c r="E114" s="2">
        <v>45713</v>
      </c>
      <c r="F114" s="2" cm="1">
        <f t="array" ref="F114">_xlfn.IFS(B114="Owner Surrender",E114,B114="Stray",E114+6,B114="Stray w/identification",E114+11,B114="Bite",E114+10,B114="Other",E114+30,B114="BAS",E114+56,B114="Seized",E114)</f>
        <v>45713</v>
      </c>
      <c r="G114" s="2">
        <v>45716</v>
      </c>
      <c r="H114" s="6">
        <f t="shared" si="7"/>
        <v>3</v>
      </c>
      <c r="I114" s="6">
        <f t="shared" si="6"/>
        <v>3</v>
      </c>
      <c r="J114" s="2" t="s">
        <v>31</v>
      </c>
    </row>
    <row r="115" spans="1:12" x14ac:dyDescent="0.25">
      <c r="A115" s="3">
        <v>39730</v>
      </c>
      <c r="B115" s="2" t="s">
        <v>36</v>
      </c>
      <c r="C115" t="s">
        <v>7</v>
      </c>
      <c r="D115" t="s">
        <v>208</v>
      </c>
      <c r="E115" s="2">
        <v>45713</v>
      </c>
      <c r="F115" s="2" cm="1">
        <f t="array" ref="F115">_xlfn.IFS(B115="Owner Surrender",E115,B115="Stray",E115+6,B115="Stray w/identification",E115+11,B115="Bite",E115+10,B115="Other",E115+30,B115="BAS",E115+56,B115="Seized",E115)</f>
        <v>45713</v>
      </c>
      <c r="G115" s="2">
        <v>45722</v>
      </c>
      <c r="H115" s="6">
        <f t="shared" si="7"/>
        <v>9</v>
      </c>
      <c r="I115" s="6">
        <f t="shared" si="6"/>
        <v>9</v>
      </c>
      <c r="J115" s="2" t="s">
        <v>18</v>
      </c>
      <c r="K115" t="s">
        <v>319</v>
      </c>
    </row>
    <row r="116" spans="1:12" x14ac:dyDescent="0.25">
      <c r="A116" s="3">
        <v>39733</v>
      </c>
      <c r="B116" s="2" t="s">
        <v>38</v>
      </c>
      <c r="C116" t="s">
        <v>7</v>
      </c>
      <c r="D116" t="s">
        <v>208</v>
      </c>
      <c r="E116" s="2">
        <v>45713</v>
      </c>
      <c r="F116" s="2" cm="1">
        <f t="array" ref="F116">_xlfn.IFS(B116="Owner Surrender",E116,B116="Stray",E116+6,B116="Stray w/identification",E116+11,B116="Bite",E116+10,B116="Other",E116+30,B116="BAS",E116+56,B116="Seized",E116)</f>
        <v>45719</v>
      </c>
      <c r="G116" s="2">
        <v>45722</v>
      </c>
      <c r="H116" s="6">
        <f t="shared" si="7"/>
        <v>9</v>
      </c>
      <c r="I116" s="6">
        <f t="shared" si="6"/>
        <v>3</v>
      </c>
      <c r="J116" s="2" t="s">
        <v>18</v>
      </c>
      <c r="K116" t="s">
        <v>318</v>
      </c>
    </row>
    <row r="117" spans="1:12" x14ac:dyDescent="0.25">
      <c r="A117" s="3">
        <v>39734</v>
      </c>
      <c r="B117" s="2" t="s">
        <v>38</v>
      </c>
      <c r="C117" t="s">
        <v>7</v>
      </c>
      <c r="D117" t="s">
        <v>208</v>
      </c>
      <c r="E117" s="2">
        <v>45713</v>
      </c>
      <c r="F117" s="2" cm="1">
        <f t="array" ref="F117">_xlfn.IFS(B117="Owner Surrender",E117,B117="Stray",E117+6,B117="Stray w/identification",E117+11,B117="Bite",E117+10,B117="Other",E117+30,B117="BAS",E117+56,B117="Seized",E117)</f>
        <v>45719</v>
      </c>
      <c r="G117" s="2">
        <v>45722</v>
      </c>
      <c r="H117" s="6">
        <f t="shared" si="7"/>
        <v>9</v>
      </c>
      <c r="I117" s="6">
        <f t="shared" si="6"/>
        <v>3</v>
      </c>
      <c r="J117" s="2" t="s">
        <v>18</v>
      </c>
      <c r="K117" t="s">
        <v>317</v>
      </c>
    </row>
    <row r="118" spans="1:12" x14ac:dyDescent="0.25">
      <c r="A118" s="3">
        <v>39735</v>
      </c>
      <c r="B118" s="2" t="s">
        <v>38</v>
      </c>
      <c r="C118" t="s">
        <v>7</v>
      </c>
      <c r="D118" t="s">
        <v>208</v>
      </c>
      <c r="E118" s="2">
        <v>45713</v>
      </c>
      <c r="F118" s="2" cm="1">
        <f t="array" ref="F118">_xlfn.IFS(B118="Owner Surrender",E118,B118="Stray",E118+6,B118="Stray w/identification",E118+11,B118="Bite",E118+10,B118="Other",E118+30,B118="BAS",E118+56,B118="Seized",E118)</f>
        <v>45719</v>
      </c>
      <c r="G118" s="2">
        <v>45722</v>
      </c>
      <c r="H118" s="6">
        <f t="shared" si="7"/>
        <v>9</v>
      </c>
      <c r="I118" s="6">
        <f t="shared" si="6"/>
        <v>3</v>
      </c>
      <c r="J118" s="2" t="s">
        <v>18</v>
      </c>
    </row>
    <row r="119" spans="1:12" x14ac:dyDescent="0.25">
      <c r="A119" s="3">
        <v>39736</v>
      </c>
      <c r="B119" s="2" t="s">
        <v>38</v>
      </c>
      <c r="C119" t="s">
        <v>7</v>
      </c>
      <c r="D119" t="s">
        <v>208</v>
      </c>
      <c r="E119" s="2">
        <v>45713</v>
      </c>
      <c r="F119" s="2" cm="1">
        <f t="array" ref="F119">_xlfn.IFS(B119="Owner Surrender",E119,B119="Stray",E119+6,B119="Stray w/identification",E119+11,B119="Bite",E119+10,B119="Other",E119+30,B119="BAS",E119+56,B119="Seized",E119)</f>
        <v>45719</v>
      </c>
      <c r="G119" s="2">
        <v>45721</v>
      </c>
      <c r="H119" s="6">
        <f t="shared" si="7"/>
        <v>8</v>
      </c>
      <c r="I119" s="6">
        <f t="shared" si="6"/>
        <v>2</v>
      </c>
      <c r="J119" s="2" t="s">
        <v>31</v>
      </c>
      <c r="K119" s="2"/>
      <c r="L119" s="2"/>
    </row>
    <row r="120" spans="1:12" x14ac:dyDescent="0.25">
      <c r="A120" s="3">
        <v>39737</v>
      </c>
      <c r="B120" s="2" t="s">
        <v>38</v>
      </c>
      <c r="C120" t="s">
        <v>10</v>
      </c>
      <c r="D120" t="s">
        <v>208</v>
      </c>
      <c r="E120" s="2">
        <v>45713</v>
      </c>
      <c r="F120" s="2" cm="1">
        <f t="array" ref="F120">_xlfn.IFS(B120="Owner Surrender",E120,B120="Stray",E120+6,B120="Stray w/identification",E120+11,B120="Bite",E120+10,B120="Other",E120+30,B120="BAS",E120+56,B120="Seized",E120)</f>
        <v>45719</v>
      </c>
      <c r="G120" s="2">
        <v>45722</v>
      </c>
      <c r="H120" s="6">
        <f t="shared" si="7"/>
        <v>9</v>
      </c>
      <c r="I120" s="6">
        <f t="shared" si="6"/>
        <v>3</v>
      </c>
      <c r="J120" s="2" t="s">
        <v>18</v>
      </c>
      <c r="K120" t="s">
        <v>316</v>
      </c>
    </row>
    <row r="121" spans="1:12" x14ac:dyDescent="0.25">
      <c r="A121" s="3">
        <v>39738</v>
      </c>
      <c r="B121" s="2" t="s">
        <v>38</v>
      </c>
      <c r="C121" t="s">
        <v>10</v>
      </c>
      <c r="D121" t="s">
        <v>208</v>
      </c>
      <c r="E121" s="2">
        <v>45713</v>
      </c>
      <c r="F121" s="2" cm="1">
        <f t="array" ref="F121">_xlfn.IFS(B121="Owner Surrender",E121,B121="Stray",E121+6,B121="Stray w/identification",E121+11,B121="Bite",E121+10,B121="Other",E121+30,B121="BAS",E121+56,B121="Seized",E121)</f>
        <v>45719</v>
      </c>
      <c r="G121" s="2">
        <v>45722</v>
      </c>
      <c r="H121" s="6">
        <f t="shared" si="7"/>
        <v>9</v>
      </c>
      <c r="I121" s="6">
        <f t="shared" si="6"/>
        <v>3</v>
      </c>
      <c r="J121" s="2" t="s">
        <v>31</v>
      </c>
    </row>
    <row r="122" spans="1:12" x14ac:dyDescent="0.25">
      <c r="A122" s="3">
        <v>39739</v>
      </c>
      <c r="B122" s="2" t="s">
        <v>38</v>
      </c>
      <c r="C122" t="s">
        <v>7</v>
      </c>
      <c r="D122" t="s">
        <v>209</v>
      </c>
      <c r="E122" s="2">
        <v>45713</v>
      </c>
      <c r="F122" s="2" cm="1">
        <f t="array" ref="F122">_xlfn.IFS(B122="Owner Surrender",E122,B122="Stray",E122+6,B122="Stray w/identification",E122+11,B122="Bite",E122+10,B122="Other",E122+30,B122="BAS",E122+56,B122="Seized",E122)</f>
        <v>45719</v>
      </c>
      <c r="G122" s="2">
        <v>45722</v>
      </c>
      <c r="H122" s="6">
        <f t="shared" si="7"/>
        <v>9</v>
      </c>
      <c r="I122" s="6">
        <f t="shared" si="6"/>
        <v>3</v>
      </c>
      <c r="J122" s="2" t="s">
        <v>31</v>
      </c>
    </row>
    <row r="123" spans="1:12" x14ac:dyDescent="0.25">
      <c r="A123" s="3">
        <v>39740</v>
      </c>
      <c r="B123" s="2" t="s">
        <v>38</v>
      </c>
      <c r="C123" t="s">
        <v>7</v>
      </c>
      <c r="D123" t="s">
        <v>209</v>
      </c>
      <c r="E123" s="2">
        <v>45713</v>
      </c>
      <c r="F123" s="2" cm="1">
        <f t="array" ref="F123">_xlfn.IFS(B123="Owner Surrender",E123,B123="Stray",E123+6,B123="Stray w/identification",E123+11,B123="Bite",E123+10,B123="Other",E123+30,B123="BAS",E123+56,B123="Seized",E123)</f>
        <v>45719</v>
      </c>
      <c r="G123" s="2">
        <v>45722</v>
      </c>
      <c r="H123" s="6">
        <f t="shared" si="7"/>
        <v>9</v>
      </c>
      <c r="I123" s="6">
        <f t="shared" ref="I123:I154" si="8">G123-F123</f>
        <v>3</v>
      </c>
      <c r="J123" s="2" t="s">
        <v>31</v>
      </c>
    </row>
    <row r="124" spans="1:12" x14ac:dyDescent="0.25">
      <c r="A124" s="3">
        <v>39741</v>
      </c>
      <c r="B124" s="2" t="s">
        <v>38</v>
      </c>
      <c r="C124" t="s">
        <v>10</v>
      </c>
      <c r="D124" t="s">
        <v>209</v>
      </c>
      <c r="E124" s="2">
        <v>45713</v>
      </c>
      <c r="F124" s="2" cm="1">
        <f t="array" ref="F124">_xlfn.IFS(B124="Owner Surrender",E124,B124="Stray",E124+6,B124="Stray w/identification",E124+11,B124="Bite",E124+10,B124="Other",E124+30,B124="BAS",E124+56,B124="Seized",E124)</f>
        <v>45719</v>
      </c>
      <c r="G124" s="2">
        <v>45722</v>
      </c>
      <c r="H124" s="6">
        <f t="shared" si="7"/>
        <v>9</v>
      </c>
      <c r="I124" s="6">
        <f t="shared" si="8"/>
        <v>3</v>
      </c>
      <c r="J124" s="2" t="s">
        <v>31</v>
      </c>
    </row>
    <row r="125" spans="1:12" x14ac:dyDescent="0.25">
      <c r="A125" s="3">
        <v>39742</v>
      </c>
      <c r="B125" s="2" t="s">
        <v>38</v>
      </c>
      <c r="C125" t="s">
        <v>7</v>
      </c>
      <c r="D125" t="s">
        <v>209</v>
      </c>
      <c r="E125" s="2">
        <v>45713</v>
      </c>
      <c r="F125" s="2" cm="1">
        <f t="array" ref="F125">_xlfn.IFS(B125="Owner Surrender",E125,B125="Stray",E125+6,B125="Stray w/identification",E125+11,B125="Bite",E125+10,B125="Other",E125+30,B125="BAS",E125+56,B125="Seized",E125)</f>
        <v>45719</v>
      </c>
      <c r="G125" s="2">
        <v>45722</v>
      </c>
      <c r="H125" s="6">
        <f t="shared" si="7"/>
        <v>9</v>
      </c>
      <c r="I125" s="6">
        <f t="shared" si="8"/>
        <v>3</v>
      </c>
      <c r="J125" s="2" t="s">
        <v>31</v>
      </c>
    </row>
    <row r="126" spans="1:12" x14ac:dyDescent="0.25">
      <c r="A126" s="3">
        <v>39743</v>
      </c>
      <c r="B126" s="2" t="s">
        <v>36</v>
      </c>
      <c r="C126" t="s">
        <v>7</v>
      </c>
      <c r="D126" t="s">
        <v>208</v>
      </c>
      <c r="E126" s="2">
        <v>45714</v>
      </c>
      <c r="F126" s="2" cm="1">
        <f t="array" ref="F126">_xlfn.IFS(B126="Owner Surrender",E126,B126="Stray",E126+6,B126="Stray w/identification",E126+11,B126="Bite",E126+10,B126="Other",E126+30,B126="BAS",E126+56,B126="Seized",E126)</f>
        <v>45714</v>
      </c>
      <c r="G126" s="2">
        <v>45716</v>
      </c>
      <c r="H126" s="6">
        <f t="shared" si="7"/>
        <v>2</v>
      </c>
      <c r="I126" s="6">
        <f t="shared" si="8"/>
        <v>2</v>
      </c>
      <c r="J126" s="2" t="s">
        <v>31</v>
      </c>
    </row>
    <row r="127" spans="1:12" x14ac:dyDescent="0.25">
      <c r="A127" s="3">
        <v>39747</v>
      </c>
      <c r="B127" s="2" t="s">
        <v>38</v>
      </c>
      <c r="C127" t="s">
        <v>7</v>
      </c>
      <c r="D127" t="s">
        <v>208</v>
      </c>
      <c r="E127" s="2">
        <v>45714</v>
      </c>
      <c r="F127" s="2" cm="1">
        <f t="array" ref="F127">_xlfn.IFS(B127="Owner Surrender",E127,B127="Stray",E127+6,B127="Stray w/identification",E127+11,B127="Bite",E127+10,B127="Other",E127+30,B127="BAS",E127+56,B127="Seized",E127)</f>
        <v>45720</v>
      </c>
      <c r="G127" s="2">
        <v>45720</v>
      </c>
      <c r="H127" s="6">
        <f t="shared" si="7"/>
        <v>6</v>
      </c>
      <c r="I127" s="6">
        <f t="shared" si="8"/>
        <v>0</v>
      </c>
      <c r="J127" s="2" t="s">
        <v>31</v>
      </c>
    </row>
    <row r="128" spans="1:12" x14ac:dyDescent="0.25">
      <c r="A128" s="3">
        <v>39748</v>
      </c>
      <c r="B128" s="2" t="s">
        <v>38</v>
      </c>
      <c r="C128" t="s">
        <v>7</v>
      </c>
      <c r="D128" t="s">
        <v>208</v>
      </c>
      <c r="E128" s="2">
        <v>45714</v>
      </c>
      <c r="F128" s="2" cm="1">
        <f t="array" ref="F128">_xlfn.IFS(B128="Owner Surrender",E128,B128="Stray",E128+6,B128="Stray w/identification",E128+11,B128="Bite",E128+10,B128="Other",E128+30,B128="BAS",E128+56,B128="Seized",E128)</f>
        <v>45720</v>
      </c>
      <c r="G128" s="2">
        <v>45720</v>
      </c>
      <c r="H128" s="6">
        <f t="shared" si="7"/>
        <v>6</v>
      </c>
      <c r="I128" s="6">
        <f t="shared" si="8"/>
        <v>0</v>
      </c>
      <c r="J128" s="2" t="s">
        <v>31</v>
      </c>
    </row>
    <row r="129" spans="1:12" x14ac:dyDescent="0.25">
      <c r="A129" s="3">
        <v>39749</v>
      </c>
      <c r="B129" s="2" t="s">
        <v>38</v>
      </c>
      <c r="C129" t="s">
        <v>7</v>
      </c>
      <c r="D129" t="s">
        <v>208</v>
      </c>
      <c r="E129" s="2">
        <v>45714</v>
      </c>
      <c r="F129" s="2" cm="1">
        <f t="array" ref="F129">_xlfn.IFS(B129="Owner Surrender",E129,B129="Stray",E129+6,B129="Stray w/identification",E129+11,B129="Bite",E129+10,B129="Other",E129+30,B129="BAS",E129+56,B129="Seized",E129)</f>
        <v>45720</v>
      </c>
      <c r="G129" s="2">
        <v>45720</v>
      </c>
      <c r="H129" s="6">
        <f t="shared" si="7"/>
        <v>6</v>
      </c>
      <c r="I129" s="6">
        <f t="shared" si="8"/>
        <v>0</v>
      </c>
      <c r="J129" s="2" t="s">
        <v>31</v>
      </c>
    </row>
    <row r="130" spans="1:12" x14ac:dyDescent="0.25">
      <c r="A130" s="3">
        <v>39750</v>
      </c>
      <c r="B130" s="2" t="s">
        <v>36</v>
      </c>
      <c r="C130" t="s">
        <v>314</v>
      </c>
      <c r="D130" t="s">
        <v>210</v>
      </c>
      <c r="E130" s="2">
        <v>45715</v>
      </c>
      <c r="F130" s="2" cm="1">
        <f t="array" ref="F130">_xlfn.IFS(B130="Owner Surrender",E130,B130="Stray",E130+6,B130="Stray w/identification",E130+11,B130="Bite",E130+10,B130="Other",E130+30,B130="BAS",E130+56,B130="Seized",E130)</f>
        <v>45715</v>
      </c>
      <c r="G130" s="2">
        <v>45722</v>
      </c>
      <c r="H130" s="6">
        <f t="shared" si="7"/>
        <v>7</v>
      </c>
      <c r="I130" s="6">
        <f t="shared" si="8"/>
        <v>7</v>
      </c>
      <c r="J130" s="2" t="s">
        <v>18</v>
      </c>
      <c r="K130" t="s">
        <v>315</v>
      </c>
    </row>
    <row r="131" spans="1:12" x14ac:dyDescent="0.25">
      <c r="A131" s="3">
        <v>39756</v>
      </c>
      <c r="B131" s="2" t="s">
        <v>38</v>
      </c>
      <c r="C131" t="s">
        <v>7</v>
      </c>
      <c r="D131" t="s">
        <v>208</v>
      </c>
      <c r="E131" s="2">
        <v>45715</v>
      </c>
      <c r="F131" s="2" cm="1">
        <f t="array" ref="F131">_xlfn.IFS(B131="Owner Surrender",E131,B131="Stray",E131+6,B131="Stray w/identification",E131+11,B131="Bite",E131+10,B131="Other",E131+30,B131="BAS",E131+56,B131="Seized",E131)</f>
        <v>45721</v>
      </c>
      <c r="G131" s="2">
        <v>45722</v>
      </c>
      <c r="H131" s="6">
        <f t="shared" si="7"/>
        <v>7</v>
      </c>
      <c r="I131" s="6">
        <f t="shared" si="8"/>
        <v>1</v>
      </c>
      <c r="J131" s="2" t="s">
        <v>31</v>
      </c>
    </row>
    <row r="132" spans="1:12" x14ac:dyDescent="0.25">
      <c r="A132" s="3">
        <v>39757</v>
      </c>
      <c r="B132" s="2" t="s">
        <v>38</v>
      </c>
      <c r="C132" t="s">
        <v>7</v>
      </c>
      <c r="D132" t="s">
        <v>210</v>
      </c>
      <c r="E132" s="2">
        <v>45715</v>
      </c>
      <c r="F132" s="2" cm="1">
        <f t="array" ref="F132">_xlfn.IFS(B132="Owner Surrender",E132,B132="Stray",E132+6,B132="Stray w/identification",E132+11,B132="Bite",E132+10,B132="Other",E132+30,B132="BAS",E132+56,B132="Seized",E132)</f>
        <v>45721</v>
      </c>
      <c r="G132" s="2">
        <v>45722</v>
      </c>
      <c r="H132" s="6">
        <f t="shared" si="7"/>
        <v>7</v>
      </c>
      <c r="I132" s="6">
        <f t="shared" si="8"/>
        <v>1</v>
      </c>
      <c r="J132" s="2" t="s">
        <v>31</v>
      </c>
    </row>
    <row r="133" spans="1:12" x14ac:dyDescent="0.25">
      <c r="A133" s="3">
        <v>39758</v>
      </c>
      <c r="B133" s="2" t="s">
        <v>38</v>
      </c>
      <c r="C133" t="s">
        <v>7</v>
      </c>
      <c r="D133" t="s">
        <v>210</v>
      </c>
      <c r="E133" s="2">
        <v>45715</v>
      </c>
      <c r="F133" s="2" cm="1">
        <f t="array" ref="F133">_xlfn.IFS(B133="Owner Surrender",E133,B133="Stray",E133+6,B133="Stray w/identification",E133+11,B133="Bite",E133+10,B133="Other",E133+30,B133="BAS",E133+56,B133="Seized",E133)</f>
        <v>45721</v>
      </c>
      <c r="G133" s="2">
        <v>45722</v>
      </c>
      <c r="H133" s="6">
        <f t="shared" si="7"/>
        <v>7</v>
      </c>
      <c r="I133" s="6">
        <f t="shared" si="8"/>
        <v>1</v>
      </c>
      <c r="J133" s="2" t="s">
        <v>31</v>
      </c>
    </row>
    <row r="134" spans="1:12" x14ac:dyDescent="0.25">
      <c r="A134" s="3">
        <v>39759</v>
      </c>
      <c r="B134" s="2" t="s">
        <v>36</v>
      </c>
      <c r="C134" t="s">
        <v>10</v>
      </c>
      <c r="D134" t="s">
        <v>208</v>
      </c>
      <c r="E134" s="2">
        <v>45716</v>
      </c>
      <c r="F134" s="2" cm="1">
        <f t="array" ref="F134">_xlfn.IFS(B134="Owner Surrender",E134,B134="Stray",E134+6,B134="Stray w/identification",E134+11,B134="Bite",E134+10,B134="Other",E134+30,B134="BAS",E134+56,B134="Seized",E134)</f>
        <v>45716</v>
      </c>
      <c r="G134" s="2">
        <v>45721</v>
      </c>
      <c r="H134" s="6">
        <f t="shared" si="7"/>
        <v>5</v>
      </c>
      <c r="I134" s="6">
        <f t="shared" si="8"/>
        <v>5</v>
      </c>
      <c r="J134" s="2" t="s">
        <v>31</v>
      </c>
    </row>
    <row r="135" spans="1:12" x14ac:dyDescent="0.25">
      <c r="A135" s="3">
        <v>39766</v>
      </c>
      <c r="B135" s="2" t="s">
        <v>36</v>
      </c>
      <c r="C135" t="s">
        <v>7</v>
      </c>
      <c r="D135" t="s">
        <v>208</v>
      </c>
      <c r="E135" s="2">
        <v>45716</v>
      </c>
      <c r="F135" s="2" cm="1">
        <f t="array" ref="F135">_xlfn.IFS(B135="Owner Surrender",E135,B135="Stray",E135+6,B135="Stray w/identification",E135+11,B135="Bite",E135+10,B135="Other",E135+30,B135="BAS",E135+56,B135="Seized",E135)</f>
        <v>45716</v>
      </c>
      <c r="G135" s="2">
        <v>45726</v>
      </c>
      <c r="H135" s="6">
        <f t="shared" si="7"/>
        <v>10</v>
      </c>
      <c r="I135" s="6">
        <f t="shared" si="8"/>
        <v>10</v>
      </c>
      <c r="J135" s="2" t="s">
        <v>31</v>
      </c>
    </row>
    <row r="136" spans="1:12" x14ac:dyDescent="0.25">
      <c r="A136" s="3">
        <v>39767</v>
      </c>
      <c r="B136" s="2" t="s">
        <v>36</v>
      </c>
      <c r="C136" t="s">
        <v>7</v>
      </c>
      <c r="D136" t="s">
        <v>211</v>
      </c>
      <c r="E136" s="2">
        <v>45716</v>
      </c>
      <c r="F136" s="2" cm="1">
        <f t="array" ref="F136">_xlfn.IFS(B136="Owner Surrender",E136,B136="Stray",E136+6,B136="Stray w/identification",E136+11,B136="Bite",E136+10,B136="Other",E136+30,B136="BAS",E136+56,B136="Seized",E136)</f>
        <v>45716</v>
      </c>
      <c r="G136" s="2">
        <v>45730</v>
      </c>
      <c r="H136" s="6">
        <f t="shared" si="7"/>
        <v>14</v>
      </c>
      <c r="I136" s="6">
        <f t="shared" si="8"/>
        <v>14</v>
      </c>
      <c r="J136" s="2" t="s">
        <v>31</v>
      </c>
      <c r="K136" t="s">
        <v>97</v>
      </c>
    </row>
    <row r="137" spans="1:12" x14ac:dyDescent="0.25">
      <c r="A137" s="3">
        <v>39768</v>
      </c>
      <c r="B137" s="2" t="s">
        <v>38</v>
      </c>
      <c r="C137" t="s">
        <v>7</v>
      </c>
      <c r="D137" t="s">
        <v>208</v>
      </c>
      <c r="E137" s="2">
        <v>45717</v>
      </c>
      <c r="F137" s="2" cm="1">
        <f t="array" ref="F137">_xlfn.IFS(B137="Owner Surrender",E137,B137="Stray",E137+6,B137="Stray w/identification",E137+11,B137="Bite",E137+10,B137="Other",E137+30,B137="BAS",E137+56,B137="Seized",E137)</f>
        <v>45723</v>
      </c>
      <c r="G137" s="2">
        <v>45727</v>
      </c>
      <c r="H137" s="6">
        <f t="shared" si="7"/>
        <v>10</v>
      </c>
      <c r="I137" s="6">
        <f t="shared" si="8"/>
        <v>4</v>
      </c>
      <c r="J137" s="2" t="s">
        <v>31</v>
      </c>
      <c r="L137" t="s">
        <v>313</v>
      </c>
    </row>
    <row r="138" spans="1:12" x14ac:dyDescent="0.25">
      <c r="A138" s="3">
        <v>39770</v>
      </c>
      <c r="B138" s="2" t="s">
        <v>36</v>
      </c>
      <c r="C138" t="s">
        <v>10</v>
      </c>
      <c r="D138" t="s">
        <v>208</v>
      </c>
      <c r="E138" s="2">
        <v>45717</v>
      </c>
      <c r="F138" s="2" cm="1">
        <f t="array" ref="F138">_xlfn.IFS(B138="Owner Surrender",E138,B138="Stray",E138+6,B138="Stray w/identification",E138+11,B138="Bite",E138+10,B138="Other",E138+30,B138="BAS",E138+56,B138="Seized",E138)</f>
        <v>45717</v>
      </c>
      <c r="G138" s="2">
        <v>45719</v>
      </c>
      <c r="H138" s="6">
        <f t="shared" si="7"/>
        <v>2</v>
      </c>
      <c r="I138" s="6">
        <f t="shared" si="8"/>
        <v>2</v>
      </c>
      <c r="J138" s="2" t="s">
        <v>31</v>
      </c>
      <c r="K138" t="s">
        <v>312</v>
      </c>
    </row>
    <row r="139" spans="1:12" x14ac:dyDescent="0.25">
      <c r="A139" s="3">
        <v>39771</v>
      </c>
      <c r="B139" s="2" t="s">
        <v>36</v>
      </c>
      <c r="C139" t="s">
        <v>7</v>
      </c>
      <c r="D139" t="s">
        <v>208</v>
      </c>
      <c r="E139" s="2">
        <v>45717</v>
      </c>
      <c r="F139" s="2" cm="1">
        <f t="array" ref="F139">_xlfn.IFS(B139="Owner Surrender",E139,B139="Stray",E139+6,B139="Stray w/identification",E139+11,B139="Bite",E139+10,B139="Other",E139+30,B139="BAS",E139+56,B139="Seized",E139)</f>
        <v>45717</v>
      </c>
      <c r="G139" s="2">
        <v>45719</v>
      </c>
      <c r="H139" s="6">
        <f t="shared" si="7"/>
        <v>2</v>
      </c>
      <c r="I139" s="6">
        <f t="shared" si="8"/>
        <v>2</v>
      </c>
      <c r="J139" s="2" t="s">
        <v>31</v>
      </c>
    </row>
    <row r="140" spans="1:12" x14ac:dyDescent="0.25">
      <c r="A140" s="3">
        <v>39786</v>
      </c>
      <c r="B140" s="2" t="s">
        <v>36</v>
      </c>
      <c r="C140" t="s">
        <v>10</v>
      </c>
      <c r="D140" t="s">
        <v>208</v>
      </c>
      <c r="E140" s="2">
        <v>45719</v>
      </c>
      <c r="F140" s="2" cm="1">
        <f t="array" ref="F140">_xlfn.IFS(B140="Owner Surrender",E140,B140="Stray",E140+6,B140="Stray w/identification",E140+11,B140="Bite",E140+10,B140="Other",E140+30,B140="BAS",E140+56,B140="Seized",E140)</f>
        <v>45719</v>
      </c>
      <c r="G140" s="2">
        <v>45720</v>
      </c>
      <c r="H140" s="6">
        <f t="shared" si="7"/>
        <v>1</v>
      </c>
      <c r="I140" s="6">
        <f t="shared" si="8"/>
        <v>1</v>
      </c>
      <c r="J140" s="2" t="s">
        <v>31</v>
      </c>
      <c r="K140" t="s">
        <v>311</v>
      </c>
    </row>
    <row r="141" spans="1:12" x14ac:dyDescent="0.25">
      <c r="A141" s="3">
        <v>39787</v>
      </c>
      <c r="B141" s="2" t="s">
        <v>36</v>
      </c>
      <c r="C141" t="s">
        <v>10</v>
      </c>
      <c r="D141" t="s">
        <v>210</v>
      </c>
      <c r="E141" s="2">
        <v>45719</v>
      </c>
      <c r="F141" s="2" cm="1">
        <f t="array" ref="F141">_xlfn.IFS(B141="Owner Surrender",E141,B141="Stray",E141+6,B141="Stray w/identification",E141+11,B141="Bite",E141+10,B141="Other",E141+30,B141="BAS",E141+56,B141="Seized",E141)</f>
        <v>45719</v>
      </c>
      <c r="G141" s="2">
        <v>45719</v>
      </c>
      <c r="H141" s="6">
        <f t="shared" si="7"/>
        <v>0</v>
      </c>
      <c r="I141" s="6">
        <f t="shared" si="8"/>
        <v>0</v>
      </c>
      <c r="J141" s="2" t="s">
        <v>18</v>
      </c>
    </row>
    <row r="142" spans="1:12" x14ac:dyDescent="0.25">
      <c r="A142" s="3">
        <v>39788</v>
      </c>
      <c r="B142" s="2" t="s">
        <v>38</v>
      </c>
      <c r="C142" t="s">
        <v>10</v>
      </c>
      <c r="D142" t="s">
        <v>208</v>
      </c>
      <c r="E142" s="2">
        <v>45712</v>
      </c>
      <c r="F142" s="2" cm="1">
        <f t="array" ref="F142">_xlfn.IFS(B142="Owner Surrender",E142,B142="Stray",E142+6,B142="Stray w/identification",E142+11,B142="Bite",E142+10,B142="Other",E142+30,B142="BAS",E142+56,B142="Seized",E142)</f>
        <v>45718</v>
      </c>
      <c r="G142" s="2">
        <v>45720</v>
      </c>
      <c r="H142" s="6">
        <f t="shared" si="7"/>
        <v>8</v>
      </c>
      <c r="I142" s="6">
        <f t="shared" si="8"/>
        <v>2</v>
      </c>
      <c r="J142" s="2" t="s">
        <v>31</v>
      </c>
      <c r="L142" t="s">
        <v>288</v>
      </c>
    </row>
    <row r="143" spans="1:12" x14ac:dyDescent="0.25">
      <c r="A143" s="3">
        <v>39790</v>
      </c>
      <c r="B143" s="2" t="s">
        <v>36</v>
      </c>
      <c r="C143" t="s">
        <v>7</v>
      </c>
      <c r="D143" t="s">
        <v>210</v>
      </c>
      <c r="E143" s="2">
        <v>45719</v>
      </c>
      <c r="F143" s="2" cm="1">
        <f t="array" ref="F143">_xlfn.IFS(B143="Owner Surrender",E143,B143="Stray",E143+6,B143="Stray w/identification",E143+11,B143="Bite",E143+10,B143="Other",E143+30,B143="BAS",E143+56,B143="Seized",E143)</f>
        <v>45719</v>
      </c>
      <c r="G143" s="2">
        <v>45721</v>
      </c>
      <c r="H143" s="6">
        <f t="shared" si="7"/>
        <v>2</v>
      </c>
      <c r="I143" s="6">
        <f t="shared" si="8"/>
        <v>2</v>
      </c>
      <c r="J143" s="2" t="s">
        <v>31</v>
      </c>
      <c r="L143" s="2"/>
    </row>
    <row r="144" spans="1:12" x14ac:dyDescent="0.25">
      <c r="A144" s="3">
        <v>39791</v>
      </c>
      <c r="B144" s="2" t="s">
        <v>36</v>
      </c>
      <c r="C144" t="s">
        <v>7</v>
      </c>
      <c r="D144" t="s">
        <v>210</v>
      </c>
      <c r="E144" s="2">
        <v>45719</v>
      </c>
      <c r="F144" s="2" cm="1">
        <f t="array" ref="F144">_xlfn.IFS(B144="Owner Surrender",E144,B144="Stray",E144+6,B144="Stray w/identification",E144+11,B144="Bite",E144+10,B144="Other",E144+30,B144="BAS",E144+56,B144="Seized",E144)</f>
        <v>45719</v>
      </c>
      <c r="G144" s="2">
        <v>45721</v>
      </c>
      <c r="H144" s="6">
        <f t="shared" si="7"/>
        <v>2</v>
      </c>
      <c r="I144" s="6">
        <f t="shared" si="8"/>
        <v>2</v>
      </c>
      <c r="J144" s="2" t="s">
        <v>31</v>
      </c>
    </row>
    <row r="145" spans="1:12" x14ac:dyDescent="0.25">
      <c r="A145" s="3">
        <v>39792</v>
      </c>
      <c r="B145" s="2" t="s">
        <v>36</v>
      </c>
      <c r="C145" t="s">
        <v>7</v>
      </c>
      <c r="D145" t="s">
        <v>210</v>
      </c>
      <c r="E145" s="2">
        <v>45719</v>
      </c>
      <c r="F145" s="2" cm="1">
        <f t="array" ref="F145">_xlfn.IFS(B145="Owner Surrender",E145,B145="Stray",E145+6,B145="Stray w/identification",E145+11,B145="Bite",E145+10,B145="Other",E145+30,B145="BAS",E145+56,B145="Seized",E145)</f>
        <v>45719</v>
      </c>
      <c r="G145" s="2">
        <v>45724</v>
      </c>
      <c r="H145" s="6">
        <f t="shared" si="7"/>
        <v>5</v>
      </c>
      <c r="I145" s="6">
        <f t="shared" si="8"/>
        <v>5</v>
      </c>
      <c r="J145" s="2" t="s">
        <v>31</v>
      </c>
    </row>
    <row r="146" spans="1:12" x14ac:dyDescent="0.25">
      <c r="A146" s="3">
        <v>39801</v>
      </c>
      <c r="B146" s="2" t="s">
        <v>36</v>
      </c>
      <c r="C146" t="s">
        <v>7</v>
      </c>
      <c r="D146" t="s">
        <v>210</v>
      </c>
      <c r="E146" s="2">
        <v>45720</v>
      </c>
      <c r="F146" s="2" cm="1">
        <f t="array" ref="F146">_xlfn.IFS(B146="Owner Surrender",E146,B146="Stray",E146+6,B146="Stray w/identification",E146+11,B146="Bite",E146+10,B146="Other",E146+30,B146="BAS",E146+56,B146="Seized",E146)</f>
        <v>45720</v>
      </c>
      <c r="G146" s="2">
        <v>45722</v>
      </c>
      <c r="H146" s="6">
        <f t="shared" si="7"/>
        <v>2</v>
      </c>
      <c r="I146" s="6">
        <f t="shared" si="8"/>
        <v>2</v>
      </c>
      <c r="J146" s="2" t="s">
        <v>18</v>
      </c>
      <c r="K146" s="2" t="s">
        <v>310</v>
      </c>
      <c r="L146" s="2"/>
    </row>
    <row r="147" spans="1:12" x14ac:dyDescent="0.25">
      <c r="A147" s="3">
        <v>39802</v>
      </c>
      <c r="B147" s="2" t="s">
        <v>36</v>
      </c>
      <c r="C147" t="s">
        <v>7</v>
      </c>
      <c r="D147" t="s">
        <v>209</v>
      </c>
      <c r="E147" s="2">
        <v>45720</v>
      </c>
      <c r="F147" s="2" cm="1">
        <f t="array" ref="F147">_xlfn.IFS(B147="Owner Surrender",E147,B147="Stray",E147+6,B147="Stray w/identification",E147+11,B147="Bite",E147+10,B147="Other",E147+30,B147="BAS",E147+56,B147="Seized",E147)</f>
        <v>45720</v>
      </c>
      <c r="G147" s="2">
        <v>45722</v>
      </c>
      <c r="H147" s="6">
        <f t="shared" si="7"/>
        <v>2</v>
      </c>
      <c r="I147" s="6">
        <f t="shared" si="8"/>
        <v>2</v>
      </c>
      <c r="J147" s="2" t="s">
        <v>18</v>
      </c>
      <c r="K147" t="s">
        <v>309</v>
      </c>
    </row>
    <row r="148" spans="1:12" x14ac:dyDescent="0.25">
      <c r="A148" s="3">
        <v>39803</v>
      </c>
      <c r="B148" s="2" t="s">
        <v>36</v>
      </c>
      <c r="C148" t="s">
        <v>7</v>
      </c>
      <c r="D148" t="s">
        <v>208</v>
      </c>
      <c r="E148" s="2">
        <v>45720</v>
      </c>
      <c r="F148" s="2" cm="1">
        <f t="array" ref="F148">_xlfn.IFS(B148="Owner Surrender",E148,B148="Stray",E148+6,B148="Stray w/identification",E148+11,B148="Bite",E148+10,B148="Other",E148+30,B148="BAS",E148+56,B148="Seized",E148)</f>
        <v>45720</v>
      </c>
      <c r="G148" s="2">
        <v>45726</v>
      </c>
      <c r="H148" s="6">
        <f t="shared" si="7"/>
        <v>6</v>
      </c>
      <c r="I148" s="6">
        <f t="shared" si="8"/>
        <v>6</v>
      </c>
      <c r="J148" s="2" t="s">
        <v>31</v>
      </c>
      <c r="K148" t="s">
        <v>308</v>
      </c>
    </row>
    <row r="149" spans="1:12" x14ac:dyDescent="0.25">
      <c r="A149" s="3">
        <v>39804</v>
      </c>
      <c r="B149" s="2" t="s">
        <v>36</v>
      </c>
      <c r="C149" t="s">
        <v>7</v>
      </c>
      <c r="D149" t="s">
        <v>208</v>
      </c>
      <c r="E149" s="2">
        <v>45720</v>
      </c>
      <c r="F149" s="2" cm="1">
        <f t="array" ref="F149">_xlfn.IFS(B149="Owner Surrender",E149,B149="Stray",E149+6,B149="Stray w/identification",E149+11,B149="Bite",E149+10,B149="Other",E149+30,B149="BAS",E149+56,B149="Seized",E149)</f>
        <v>45720</v>
      </c>
      <c r="G149" s="2">
        <v>45737</v>
      </c>
      <c r="H149" s="6">
        <f t="shared" si="7"/>
        <v>17</v>
      </c>
      <c r="I149" s="6">
        <f t="shared" si="8"/>
        <v>17</v>
      </c>
      <c r="J149" s="2" t="s">
        <v>31</v>
      </c>
      <c r="K149" t="s">
        <v>307</v>
      </c>
    </row>
    <row r="150" spans="1:12" x14ac:dyDescent="0.25">
      <c r="A150" s="3">
        <v>39805</v>
      </c>
      <c r="B150" s="2" t="s">
        <v>38</v>
      </c>
      <c r="C150" t="s">
        <v>10</v>
      </c>
      <c r="D150" t="s">
        <v>210</v>
      </c>
      <c r="E150" s="2">
        <v>45720</v>
      </c>
      <c r="F150" s="2" cm="1">
        <f t="array" ref="F150">_xlfn.IFS(B150="Owner Surrender",E150,B150="Stray",E150+6,B150="Stray w/identification",E150+11,B150="Bite",E150+10,B150="Other",E150+30,B150="BAS",E150+56,B150="Seized",E150)</f>
        <v>45726</v>
      </c>
      <c r="G150" s="2">
        <v>45737</v>
      </c>
      <c r="H150" s="6">
        <f t="shared" si="7"/>
        <v>17</v>
      </c>
      <c r="I150" s="6">
        <f t="shared" si="8"/>
        <v>11</v>
      </c>
      <c r="J150" s="2" t="s">
        <v>31</v>
      </c>
      <c r="K150" s="2" t="s">
        <v>306</v>
      </c>
    </row>
    <row r="151" spans="1:12" x14ac:dyDescent="0.25">
      <c r="A151" s="3">
        <v>39806</v>
      </c>
      <c r="B151" s="2" t="s">
        <v>38</v>
      </c>
      <c r="C151" t="s">
        <v>7</v>
      </c>
      <c r="D151" t="s">
        <v>209</v>
      </c>
      <c r="E151" s="2">
        <v>45720</v>
      </c>
      <c r="F151" s="2" cm="1">
        <f t="array" ref="F151">_xlfn.IFS(B151="Owner Surrender",E151,B151="Stray",E151+6,B151="Stray w/identification",E151+11,B151="Bite",E151+10,B151="Other",E151+30,B151="BAS",E151+56,B151="Seized",E151)</f>
        <v>45726</v>
      </c>
      <c r="G151" s="2">
        <v>45727</v>
      </c>
      <c r="H151" s="6">
        <f t="shared" si="7"/>
        <v>7</v>
      </c>
      <c r="I151" s="6">
        <f t="shared" si="8"/>
        <v>1</v>
      </c>
      <c r="J151" s="2" t="s">
        <v>31</v>
      </c>
      <c r="K151" s="2"/>
      <c r="L151" s="2"/>
    </row>
    <row r="152" spans="1:12" x14ac:dyDescent="0.25">
      <c r="A152" s="3">
        <v>39807</v>
      </c>
      <c r="B152" s="2" t="s">
        <v>38</v>
      </c>
      <c r="C152" t="s">
        <v>7</v>
      </c>
      <c r="D152" t="s">
        <v>208</v>
      </c>
      <c r="E152" s="2">
        <v>45720</v>
      </c>
      <c r="F152" s="2" cm="1">
        <f t="array" ref="F152">_xlfn.IFS(B152="Owner Surrender",E152,B152="Stray",E152+6,B152="Stray w/identification",E152+11,B152="Bite",E152+10,B152="Other",E152+30,B152="BAS",E152+56,B152="Seized",E152)</f>
        <v>45726</v>
      </c>
      <c r="G152" s="2">
        <v>45727</v>
      </c>
      <c r="H152" s="6">
        <f t="shared" si="7"/>
        <v>7</v>
      </c>
      <c r="I152" s="6">
        <f t="shared" si="8"/>
        <v>1</v>
      </c>
      <c r="J152" s="2" t="s">
        <v>31</v>
      </c>
      <c r="L152" t="s">
        <v>305</v>
      </c>
    </row>
    <row r="153" spans="1:12" x14ac:dyDescent="0.25">
      <c r="A153" s="3">
        <v>39808</v>
      </c>
      <c r="B153" s="2" t="s">
        <v>38</v>
      </c>
      <c r="C153" t="s">
        <v>10</v>
      </c>
      <c r="D153" t="s">
        <v>208</v>
      </c>
      <c r="E153" s="2">
        <v>45721</v>
      </c>
      <c r="F153" s="2" cm="1">
        <f t="array" ref="F153">_xlfn.IFS(B153="Owner Surrender",E153,B153="Stray",E153+6,B153="Stray w/identification",E153+11,B153="Bite",E153+10,B153="Other",E153+30,B153="BAS",E153+56,B153="Seized",E153)</f>
        <v>45727</v>
      </c>
      <c r="G153" s="2">
        <v>45727</v>
      </c>
      <c r="H153" s="6">
        <f t="shared" si="7"/>
        <v>6</v>
      </c>
      <c r="I153" s="6">
        <f t="shared" si="8"/>
        <v>0</v>
      </c>
      <c r="J153" s="2" t="s">
        <v>31</v>
      </c>
      <c r="L153" t="s">
        <v>34</v>
      </c>
    </row>
    <row r="154" spans="1:12" x14ac:dyDescent="0.25">
      <c r="A154" s="3">
        <v>39809</v>
      </c>
      <c r="B154" s="2" t="s">
        <v>38</v>
      </c>
      <c r="C154" t="s">
        <v>10</v>
      </c>
      <c r="D154" t="s">
        <v>208</v>
      </c>
      <c r="E154" s="2">
        <v>45721</v>
      </c>
      <c r="F154" s="2" cm="1">
        <f t="array" ref="F154">_xlfn.IFS(B154="Owner Surrender",E154,B154="Stray",E154+6,B154="Stray w/identification",E154+11,B154="Bite",E154+10,B154="Other",E154+30,B154="BAS",E154+56,B154="Seized",E154)</f>
        <v>45727</v>
      </c>
      <c r="G154" s="2">
        <v>45734</v>
      </c>
      <c r="H154" s="6">
        <f t="shared" si="7"/>
        <v>13</v>
      </c>
      <c r="I154" s="6">
        <f t="shared" si="8"/>
        <v>7</v>
      </c>
      <c r="J154" s="2" t="s">
        <v>31</v>
      </c>
      <c r="L154" t="s">
        <v>34</v>
      </c>
    </row>
    <row r="155" spans="1:12" x14ac:dyDescent="0.25">
      <c r="A155" s="3">
        <v>39810</v>
      </c>
      <c r="B155" s="2" t="s">
        <v>36</v>
      </c>
      <c r="C155" t="s">
        <v>7</v>
      </c>
      <c r="D155" t="s">
        <v>208</v>
      </c>
      <c r="E155" s="2">
        <v>45721</v>
      </c>
      <c r="F155" s="2" cm="1">
        <f t="array" ref="F155">_xlfn.IFS(B155="Owner Surrender",E155,B155="Stray",E155+6,B155="Stray w/identification",E155+11,B155="Bite",E155+10,B155="Other",E155+30,B155="BAS",E155+56,B155="Seized",E155)</f>
        <v>45721</v>
      </c>
      <c r="G155" s="2">
        <v>45735</v>
      </c>
      <c r="H155" s="6">
        <f t="shared" si="7"/>
        <v>14</v>
      </c>
      <c r="I155" s="6">
        <f t="shared" ref="I155:I186" si="9">G155-F155</f>
        <v>14</v>
      </c>
      <c r="J155" s="2" t="s">
        <v>11</v>
      </c>
      <c r="K155" t="s">
        <v>304</v>
      </c>
      <c r="L155" s="2"/>
    </row>
    <row r="156" spans="1:12" x14ac:dyDescent="0.25">
      <c r="A156" s="3">
        <v>39814</v>
      </c>
      <c r="B156" s="2" t="s">
        <v>36</v>
      </c>
      <c r="C156" t="s">
        <v>7</v>
      </c>
      <c r="D156" t="s">
        <v>208</v>
      </c>
      <c r="E156" s="2">
        <v>45722</v>
      </c>
      <c r="F156" s="2" cm="1">
        <f t="array" ref="F156">_xlfn.IFS(B156="Owner Surrender",E156,B156="Stray",E156+6,B156="Stray w/identification",E156+11,B156="Bite",E156+10,B156="Other",E156+30,B156="BAS",E156+56,B156="Seized",E156)</f>
        <v>45722</v>
      </c>
      <c r="G156" s="2">
        <v>45737</v>
      </c>
      <c r="H156" s="6">
        <f t="shared" si="7"/>
        <v>15</v>
      </c>
      <c r="I156" s="6">
        <f t="shared" si="9"/>
        <v>15</v>
      </c>
      <c r="J156" s="2" t="s">
        <v>18</v>
      </c>
      <c r="K156" t="s">
        <v>303</v>
      </c>
    </row>
    <row r="157" spans="1:12" x14ac:dyDescent="0.25">
      <c r="A157" s="3">
        <v>39815</v>
      </c>
      <c r="B157" s="2" t="s">
        <v>38</v>
      </c>
      <c r="C157" t="s">
        <v>7</v>
      </c>
      <c r="D157" t="s">
        <v>209</v>
      </c>
      <c r="E157" s="2">
        <v>45722</v>
      </c>
      <c r="F157" s="2" cm="1">
        <f t="array" ref="F157">_xlfn.IFS(B157="Owner Surrender",E157,B157="Stray",E157+6,B157="Stray w/identification",E157+11,B157="Bite",E157+10,B157="Other",E157+30,B157="BAS",E157+56,B157="Seized",E157)</f>
        <v>45728</v>
      </c>
      <c r="G157" s="2">
        <v>45729</v>
      </c>
      <c r="H157" s="6">
        <f t="shared" si="7"/>
        <v>7</v>
      </c>
      <c r="I157" s="6">
        <f t="shared" si="9"/>
        <v>1</v>
      </c>
      <c r="J157" s="2" t="s">
        <v>11</v>
      </c>
      <c r="K157" s="2"/>
    </row>
    <row r="158" spans="1:12" x14ac:dyDescent="0.25">
      <c r="A158" s="3">
        <v>39824</v>
      </c>
      <c r="B158" s="2" t="s">
        <v>38</v>
      </c>
      <c r="C158" t="s">
        <v>10</v>
      </c>
      <c r="D158" t="s">
        <v>208</v>
      </c>
      <c r="E158" s="2">
        <v>45722</v>
      </c>
      <c r="F158" s="2" cm="1">
        <f t="array" ref="F158">_xlfn.IFS(B158="Owner Surrender",E158,B158="Stray",E158+6,B158="Stray w/identification",E158+11,B158="Bite",E158+10,B158="Other",E158+30,B158="BAS",E158+56,B158="Seized",E158)</f>
        <v>45728</v>
      </c>
      <c r="G158" s="2">
        <v>45729</v>
      </c>
      <c r="H158" s="6">
        <f t="shared" si="7"/>
        <v>7</v>
      </c>
      <c r="I158" s="6">
        <f t="shared" si="9"/>
        <v>1</v>
      </c>
      <c r="J158" s="2" t="s">
        <v>31</v>
      </c>
      <c r="L158" t="s">
        <v>34</v>
      </c>
    </row>
    <row r="159" spans="1:12" x14ac:dyDescent="0.25">
      <c r="A159" s="3">
        <v>39831</v>
      </c>
      <c r="B159" s="2" t="s">
        <v>38</v>
      </c>
      <c r="C159" t="s">
        <v>10</v>
      </c>
      <c r="D159" t="s">
        <v>208</v>
      </c>
      <c r="E159" s="2">
        <v>45723</v>
      </c>
      <c r="F159" s="2" cm="1">
        <f t="array" ref="F159">_xlfn.IFS(B159="Owner Surrender",E159,B159="Stray",E159+6,B159="Stray w/identification",E159+11,B159="Bite",E159+10,B159="Other",E159+30,B159="BAS",E159+56,B159="Seized",E159)</f>
        <v>45729</v>
      </c>
      <c r="G159" s="2">
        <v>45729</v>
      </c>
      <c r="H159" s="6">
        <f t="shared" si="7"/>
        <v>6</v>
      </c>
      <c r="I159" s="6">
        <f t="shared" si="9"/>
        <v>0</v>
      </c>
      <c r="J159" s="2" t="s">
        <v>31</v>
      </c>
      <c r="L159" t="s">
        <v>34</v>
      </c>
    </row>
    <row r="160" spans="1:12" x14ac:dyDescent="0.25">
      <c r="A160" s="3">
        <v>39832</v>
      </c>
      <c r="B160" s="2" t="s">
        <v>38</v>
      </c>
      <c r="C160" t="s">
        <v>10</v>
      </c>
      <c r="D160" t="s">
        <v>208</v>
      </c>
      <c r="E160" s="2">
        <v>45723</v>
      </c>
      <c r="F160" s="2" cm="1">
        <f t="array" ref="F160">_xlfn.IFS(B160="Owner Surrender",E160,B160="Stray",E160+6,B160="Stray w/identification",E160+11,B160="Bite",E160+10,B160="Other",E160+30,B160="BAS",E160+56,B160="Seized",E160)</f>
        <v>45729</v>
      </c>
      <c r="G160" s="2">
        <v>45729</v>
      </c>
      <c r="H160" s="6">
        <f t="shared" si="7"/>
        <v>6</v>
      </c>
      <c r="I160" s="6">
        <f t="shared" si="9"/>
        <v>0</v>
      </c>
      <c r="J160" s="2" t="s">
        <v>31</v>
      </c>
      <c r="L160" t="s">
        <v>34</v>
      </c>
    </row>
    <row r="161" spans="1:12" x14ac:dyDescent="0.25">
      <c r="A161" s="3">
        <v>39833</v>
      </c>
      <c r="B161" s="2" t="s">
        <v>38</v>
      </c>
      <c r="C161" t="s">
        <v>10</v>
      </c>
      <c r="D161" t="s">
        <v>208</v>
      </c>
      <c r="E161" s="2">
        <v>45723</v>
      </c>
      <c r="F161" s="2" cm="1">
        <f t="array" ref="F161">_xlfn.IFS(B161="Owner Surrender",E161,B161="Stray",E161+6,B161="Stray w/identification",E161+11,B161="Bite",E161+10,B161="Other",E161+30,B161="BAS",E161+56,B161="Seized",E161)</f>
        <v>45729</v>
      </c>
      <c r="G161" s="2">
        <v>45729</v>
      </c>
      <c r="H161" s="6">
        <f t="shared" si="7"/>
        <v>6</v>
      </c>
      <c r="I161" s="6">
        <f t="shared" si="9"/>
        <v>0</v>
      </c>
      <c r="J161" s="2" t="s">
        <v>31</v>
      </c>
      <c r="L161" t="s">
        <v>34</v>
      </c>
    </row>
    <row r="162" spans="1:12" x14ac:dyDescent="0.25">
      <c r="A162" s="3">
        <v>39837</v>
      </c>
      <c r="B162" s="2" t="s">
        <v>36</v>
      </c>
      <c r="C162" t="s">
        <v>7</v>
      </c>
      <c r="D162" t="s">
        <v>208</v>
      </c>
      <c r="E162" s="2">
        <v>45723</v>
      </c>
      <c r="F162" s="2" cm="1">
        <f t="array" ref="F162">_xlfn.IFS(B162="Owner Surrender",E162,B162="Stray",E162+6,B162="Stray w/identification",E162+11,B162="Bite",E162+10,B162="Other",E162+30,B162="BAS",E162+56,B162="Seized",E162)</f>
        <v>45723</v>
      </c>
      <c r="G162" s="2">
        <v>45735</v>
      </c>
      <c r="H162" s="6">
        <f t="shared" si="7"/>
        <v>12</v>
      </c>
      <c r="I162" s="6">
        <f t="shared" si="9"/>
        <v>12</v>
      </c>
      <c r="J162" s="2" t="s">
        <v>31</v>
      </c>
    </row>
    <row r="163" spans="1:12" x14ac:dyDescent="0.25">
      <c r="A163" s="3">
        <v>39840</v>
      </c>
      <c r="B163" s="2" t="s">
        <v>38</v>
      </c>
      <c r="C163" t="s">
        <v>10</v>
      </c>
      <c r="D163" t="s">
        <v>208</v>
      </c>
      <c r="E163" s="2">
        <v>45723</v>
      </c>
      <c r="F163" s="2" cm="1">
        <f t="array" ref="F163">_xlfn.IFS(B163="Owner Surrender",E163,B163="Stray",E163+6,B163="Stray w/identification",E163+11,B163="Bite",E163+10,B163="Other",E163+30,B163="BAS",E163+56,B163="Seized",E163)</f>
        <v>45729</v>
      </c>
      <c r="G163" s="2">
        <v>45735</v>
      </c>
      <c r="H163" s="6">
        <f t="shared" si="7"/>
        <v>12</v>
      </c>
      <c r="I163" s="6">
        <f t="shared" si="9"/>
        <v>6</v>
      </c>
      <c r="J163" s="2" t="s">
        <v>31</v>
      </c>
    </row>
    <row r="164" spans="1:12" x14ac:dyDescent="0.25">
      <c r="A164" s="3">
        <v>39849</v>
      </c>
      <c r="B164" s="2" t="s">
        <v>38</v>
      </c>
      <c r="C164" t="s">
        <v>7</v>
      </c>
      <c r="D164" t="s">
        <v>209</v>
      </c>
      <c r="E164" s="2">
        <v>45726</v>
      </c>
      <c r="F164" s="2" cm="1">
        <f t="array" ref="F164">_xlfn.IFS(B164="Owner Surrender",E164,B164="Stray",E164+6,B164="Stray w/identification",E164+11,B164="Bite",E164+10,B164="Other",E164+30,B164="BAS",E164+56,B164="Seized",E164)</f>
        <v>45732</v>
      </c>
      <c r="G164" s="2">
        <v>45727</v>
      </c>
      <c r="H164" s="6">
        <f t="shared" si="7"/>
        <v>1</v>
      </c>
      <c r="I164" s="6">
        <f t="shared" si="9"/>
        <v>-5</v>
      </c>
      <c r="J164" s="2" t="s">
        <v>31</v>
      </c>
      <c r="L164" t="s">
        <v>302</v>
      </c>
    </row>
    <row r="165" spans="1:12" x14ac:dyDescent="0.25">
      <c r="A165" s="3">
        <v>39850</v>
      </c>
      <c r="B165" s="2" t="s">
        <v>38</v>
      </c>
      <c r="C165" t="s">
        <v>7</v>
      </c>
      <c r="D165" t="s">
        <v>209</v>
      </c>
      <c r="E165" s="2">
        <v>45726</v>
      </c>
      <c r="F165" s="2" cm="1">
        <f t="array" ref="F165">_xlfn.IFS(B165="Owner Surrender",E165,B165="Stray",E165+6,B165="Stray w/identification",E165+11,B165="Bite",E165+10,B165="Other",E165+30,B165="BAS",E165+56,B165="Seized",E165)</f>
        <v>45732</v>
      </c>
      <c r="G165" s="2">
        <v>45726</v>
      </c>
      <c r="H165" s="6">
        <f t="shared" si="7"/>
        <v>0</v>
      </c>
      <c r="I165" s="6">
        <f t="shared" si="9"/>
        <v>-6</v>
      </c>
      <c r="J165" s="2" t="s">
        <v>31</v>
      </c>
      <c r="L165" t="s">
        <v>302</v>
      </c>
    </row>
    <row r="166" spans="1:12" x14ac:dyDescent="0.25">
      <c r="A166" s="3">
        <v>39851</v>
      </c>
      <c r="B166" s="2" t="s">
        <v>38</v>
      </c>
      <c r="C166" t="s">
        <v>15</v>
      </c>
      <c r="D166" t="s">
        <v>208</v>
      </c>
      <c r="E166" s="2">
        <v>45727</v>
      </c>
      <c r="F166" s="2" cm="1">
        <f t="array" ref="F166">_xlfn.IFS(B166="Owner Surrender",E166,B166="Stray",E166+6,B166="Stray w/identification",E166+11,B166="Bite",E166+10,B166="Other",E166+30,B166="BAS",E166+56,B166="Seized",E166)</f>
        <v>45733</v>
      </c>
      <c r="G166" s="2">
        <v>45733</v>
      </c>
      <c r="H166" s="6">
        <f t="shared" si="7"/>
        <v>6</v>
      </c>
      <c r="I166" s="6">
        <f t="shared" si="9"/>
        <v>0</v>
      </c>
      <c r="J166" s="2" t="s">
        <v>31</v>
      </c>
    </row>
    <row r="167" spans="1:12" x14ac:dyDescent="0.25">
      <c r="A167" s="3">
        <v>39852</v>
      </c>
      <c r="B167" s="2" t="s">
        <v>38</v>
      </c>
      <c r="C167" t="s">
        <v>15</v>
      </c>
      <c r="D167" t="s">
        <v>208</v>
      </c>
      <c r="E167" s="2">
        <v>45727</v>
      </c>
      <c r="F167" s="2" cm="1">
        <f t="array" ref="F167">_xlfn.IFS(B167="Owner Surrender",E167,B167="Stray",E167+6,B167="Stray w/identification",E167+11,B167="Bite",E167+10,B167="Other",E167+30,B167="BAS",E167+56,B167="Seized",E167)</f>
        <v>45733</v>
      </c>
      <c r="G167" s="2">
        <v>45733</v>
      </c>
      <c r="H167" s="6">
        <f t="shared" si="7"/>
        <v>6</v>
      </c>
      <c r="I167" s="6">
        <f t="shared" si="9"/>
        <v>0</v>
      </c>
      <c r="J167" s="2" t="s">
        <v>31</v>
      </c>
      <c r="L167" t="s">
        <v>34</v>
      </c>
    </row>
    <row r="168" spans="1:12" x14ac:dyDescent="0.25">
      <c r="A168" s="3">
        <v>39853</v>
      </c>
      <c r="B168" s="2" t="s">
        <v>36</v>
      </c>
      <c r="C168" t="s">
        <v>7</v>
      </c>
      <c r="D168" t="s">
        <v>208</v>
      </c>
      <c r="E168" s="2">
        <v>45727</v>
      </c>
      <c r="F168" s="2" cm="1">
        <f t="array" ref="F168">_xlfn.IFS(B168="Owner Surrender",E168,B168="Stray",E168+6,B168="Stray w/identification",E168+11,B168="Bite",E168+10,B168="Other",E168+30,B168="BAS",E168+56,B168="Seized",E168)</f>
        <v>45727</v>
      </c>
      <c r="G168" s="2">
        <v>45729</v>
      </c>
      <c r="H168" s="6">
        <f t="shared" ref="H168:H231" si="10">+G168-E168</f>
        <v>2</v>
      </c>
      <c r="I168" s="6">
        <f t="shared" si="9"/>
        <v>2</v>
      </c>
      <c r="J168" s="2" t="s">
        <v>31</v>
      </c>
    </row>
    <row r="169" spans="1:12" x14ac:dyDescent="0.25">
      <c r="A169" s="3">
        <v>39856</v>
      </c>
      <c r="B169" s="2" t="s">
        <v>36</v>
      </c>
      <c r="C169" t="s">
        <v>7</v>
      </c>
      <c r="D169" t="s">
        <v>208</v>
      </c>
      <c r="E169" s="2">
        <v>45727</v>
      </c>
      <c r="F169" s="2" cm="1">
        <f t="array" ref="F169">_xlfn.IFS(B169="Owner Surrender",E169,B169="Stray",E169+6,B169="Stray w/identification",E169+11,B169="Bite",E169+10,B169="Other",E169+30,B169="BAS",E169+56,B169="Seized",E169)</f>
        <v>45727</v>
      </c>
      <c r="G169" s="2">
        <v>45729</v>
      </c>
      <c r="H169" s="6">
        <f t="shared" si="10"/>
        <v>2</v>
      </c>
      <c r="I169" s="6">
        <f t="shared" si="9"/>
        <v>2</v>
      </c>
      <c r="J169" s="2" t="s">
        <v>31</v>
      </c>
    </row>
    <row r="170" spans="1:12" x14ac:dyDescent="0.25">
      <c r="A170" s="3">
        <v>39857</v>
      </c>
      <c r="B170" s="2" t="s">
        <v>38</v>
      </c>
      <c r="C170" t="s">
        <v>10</v>
      </c>
      <c r="D170" t="s">
        <v>208</v>
      </c>
      <c r="E170" s="2">
        <v>45727</v>
      </c>
      <c r="F170" s="2" cm="1">
        <f t="array" ref="F170">_xlfn.IFS(B170="Owner Surrender",E170,B170="Stray",E170+6,B170="Stray w/identification",E170+11,B170="Bite",E170+10,B170="Other",E170+30,B170="BAS",E170+56,B170="Seized",E170)</f>
        <v>45733</v>
      </c>
      <c r="G170" s="2">
        <v>45733</v>
      </c>
      <c r="H170" s="6">
        <f t="shared" si="10"/>
        <v>6</v>
      </c>
      <c r="I170" s="6">
        <f t="shared" si="9"/>
        <v>0</v>
      </c>
      <c r="J170" s="2" t="s">
        <v>31</v>
      </c>
      <c r="L170" s="2" t="s">
        <v>34</v>
      </c>
    </row>
    <row r="171" spans="1:12" x14ac:dyDescent="0.25">
      <c r="A171" s="3">
        <v>39858</v>
      </c>
      <c r="B171" s="2" t="s">
        <v>38</v>
      </c>
      <c r="C171" t="s">
        <v>15</v>
      </c>
      <c r="D171" t="s">
        <v>208</v>
      </c>
      <c r="E171" s="2">
        <v>45727</v>
      </c>
      <c r="F171" s="2" cm="1">
        <f t="array" ref="F171">_xlfn.IFS(B171="Owner Surrender",E171,B171="Stray",E171+6,B171="Stray w/identification",E171+11,B171="Bite",E171+10,B171="Other",E171+30,B171="BAS",E171+56,B171="Seized",E171)</f>
        <v>45733</v>
      </c>
      <c r="G171" s="2">
        <v>45733</v>
      </c>
      <c r="H171" s="6">
        <f t="shared" si="10"/>
        <v>6</v>
      </c>
      <c r="I171" s="6">
        <f t="shared" si="9"/>
        <v>0</v>
      </c>
      <c r="J171" s="2" t="s">
        <v>31</v>
      </c>
      <c r="L171" s="2" t="s">
        <v>34</v>
      </c>
    </row>
    <row r="172" spans="1:12" x14ac:dyDescent="0.25">
      <c r="A172" s="3">
        <v>39860</v>
      </c>
      <c r="B172" s="2" t="s">
        <v>180</v>
      </c>
      <c r="C172" t="s">
        <v>10</v>
      </c>
      <c r="D172" t="s">
        <v>208</v>
      </c>
      <c r="E172" s="2">
        <v>45727</v>
      </c>
      <c r="F172" s="2" cm="1">
        <f t="array" ref="F172">_xlfn.IFS(B172="Owner Surrender",E172,B172="Stray",E172+6,B172="Stray w/identification",E172+11,B172="Bite",E172+10,B172="Other",E172+30,B172="BAS",E172+56,B172="Seized",E172)</f>
        <v>45738</v>
      </c>
      <c r="G172" s="2">
        <v>45743</v>
      </c>
      <c r="H172" s="6">
        <f t="shared" si="10"/>
        <v>16</v>
      </c>
      <c r="I172" s="6">
        <f t="shared" si="9"/>
        <v>5</v>
      </c>
      <c r="J172" s="2" t="s">
        <v>31</v>
      </c>
      <c r="L172" s="2" t="s">
        <v>327</v>
      </c>
    </row>
    <row r="173" spans="1:12" x14ac:dyDescent="0.25">
      <c r="A173" s="3">
        <v>39861</v>
      </c>
      <c r="B173" s="2" t="s">
        <v>38</v>
      </c>
      <c r="C173" t="s">
        <v>7</v>
      </c>
      <c r="D173" t="s">
        <v>208</v>
      </c>
      <c r="E173" s="2">
        <v>45727</v>
      </c>
      <c r="F173" s="2" cm="1">
        <f t="array" ref="F173">_xlfn.IFS(B173="Owner Surrender",E173,B173="Stray",E173+6,B173="Stray w/identification",E173+11,B173="Bite",E173+10,B173="Other",E173+30,B173="BAS",E173+56,B173="Seized",E173)</f>
        <v>45733</v>
      </c>
      <c r="G173" s="2">
        <v>45733</v>
      </c>
      <c r="H173" s="6">
        <f t="shared" si="10"/>
        <v>6</v>
      </c>
      <c r="I173" s="6">
        <f t="shared" si="9"/>
        <v>0</v>
      </c>
      <c r="J173" s="2" t="s">
        <v>31</v>
      </c>
      <c r="K173" s="2"/>
      <c r="L173" t="s">
        <v>34</v>
      </c>
    </row>
    <row r="174" spans="1:12" x14ac:dyDescent="0.25">
      <c r="A174" s="3">
        <v>39862</v>
      </c>
      <c r="B174" s="2" t="s">
        <v>38</v>
      </c>
      <c r="C174" t="s">
        <v>15</v>
      </c>
      <c r="D174" t="s">
        <v>208</v>
      </c>
      <c r="E174" s="2">
        <v>45728</v>
      </c>
      <c r="F174" s="2" cm="1">
        <f t="array" ref="F174">_xlfn.IFS(B174="Owner Surrender",E174,B174="Stray",E174+6,B174="Stray w/identification",E174+11,B174="Bite",E174+10,B174="Other",E174+30,B174="BAS",E174+56,B174="Seized",E174)</f>
        <v>45734</v>
      </c>
      <c r="G174" s="2">
        <v>45737</v>
      </c>
      <c r="H174" s="6">
        <f t="shared" si="10"/>
        <v>9</v>
      </c>
      <c r="I174" s="6">
        <f t="shared" si="9"/>
        <v>3</v>
      </c>
      <c r="J174" s="2" t="s">
        <v>31</v>
      </c>
      <c r="L174" s="2"/>
    </row>
    <row r="175" spans="1:12" x14ac:dyDescent="0.25">
      <c r="A175" s="3">
        <v>39863</v>
      </c>
      <c r="B175" s="2" t="s">
        <v>38</v>
      </c>
      <c r="C175" t="s">
        <v>7</v>
      </c>
      <c r="D175" t="s">
        <v>208</v>
      </c>
      <c r="E175" s="2">
        <v>45728</v>
      </c>
      <c r="F175" s="2" cm="1">
        <f t="array" ref="F175">_xlfn.IFS(B175="Owner Surrender",E175,B175="Stray",E175+6,B175="Stray w/identification",E175+11,B175="Bite",E175+10,B175="Other",E175+30,B175="BAS",E175+56,B175="Seized",E175)</f>
        <v>45734</v>
      </c>
      <c r="H175" s="6">
        <f t="shared" si="10"/>
        <v>-45728</v>
      </c>
      <c r="I175" s="6">
        <f t="shared" si="9"/>
        <v>-45734</v>
      </c>
      <c r="J175" s="2" t="s">
        <v>21</v>
      </c>
      <c r="K175" t="s">
        <v>326</v>
      </c>
    </row>
    <row r="176" spans="1:12" x14ac:dyDescent="0.25">
      <c r="A176" s="3">
        <v>39864</v>
      </c>
      <c r="B176" s="2" t="s">
        <v>38</v>
      </c>
      <c r="C176" t="s">
        <v>7</v>
      </c>
      <c r="D176" t="s">
        <v>208</v>
      </c>
      <c r="E176" s="2">
        <v>45728</v>
      </c>
      <c r="F176" s="2" cm="1">
        <f t="array" ref="F176">_xlfn.IFS(B176="Owner Surrender",E176,B176="Stray",E176+6,B176="Stray w/identification",E176+11,B176="Bite",E176+10,B176="Other",E176+30,B176="BAS",E176+56,B176="Seized",E176)</f>
        <v>45734</v>
      </c>
      <c r="G176" s="2">
        <v>45737</v>
      </c>
      <c r="H176" s="6">
        <f t="shared" si="10"/>
        <v>9</v>
      </c>
      <c r="I176" s="6">
        <f t="shared" si="9"/>
        <v>3</v>
      </c>
      <c r="J176" s="2" t="s">
        <v>11</v>
      </c>
      <c r="K176" t="s">
        <v>325</v>
      </c>
      <c r="L176" t="s">
        <v>34</v>
      </c>
    </row>
    <row r="177" spans="1:12" x14ac:dyDescent="0.25">
      <c r="A177" s="3">
        <v>39867</v>
      </c>
      <c r="B177" s="2" t="s">
        <v>38</v>
      </c>
      <c r="C177" t="s">
        <v>7</v>
      </c>
      <c r="D177" t="s">
        <v>208</v>
      </c>
      <c r="E177" s="2">
        <v>45728</v>
      </c>
      <c r="F177" s="2" cm="1">
        <f t="array" ref="F177">_xlfn.IFS(B177="Owner Surrender",E177,B177="Stray",E177+6,B177="Stray w/identification",E177+11,B177="Bite",E177+10,B177="Other",E177+30,B177="BAS",E177+56,B177="Seized",E177)</f>
        <v>45734</v>
      </c>
      <c r="G177" s="2">
        <v>45740</v>
      </c>
      <c r="H177" s="6">
        <f t="shared" si="10"/>
        <v>12</v>
      </c>
      <c r="I177" s="6">
        <f t="shared" si="9"/>
        <v>6</v>
      </c>
      <c r="J177" s="2" t="s">
        <v>18</v>
      </c>
      <c r="K177" t="s">
        <v>324</v>
      </c>
      <c r="L177" t="s">
        <v>34</v>
      </c>
    </row>
    <row r="178" spans="1:12" x14ac:dyDescent="0.25">
      <c r="A178" s="3">
        <v>39871</v>
      </c>
      <c r="B178" s="2" t="s">
        <v>38</v>
      </c>
      <c r="C178" t="s">
        <v>7</v>
      </c>
      <c r="D178" t="s">
        <v>208</v>
      </c>
      <c r="E178" s="2">
        <v>45728</v>
      </c>
      <c r="F178" s="2" cm="1">
        <f t="array" ref="F178">_xlfn.IFS(B178="Owner Surrender",E178,B178="Stray",E178+6,B178="Stray w/identification",E178+11,B178="Bite",E178+10,B178="Other",E178+30,B178="BAS",E178+56,B178="Seized",E178)</f>
        <v>45734</v>
      </c>
      <c r="G178" s="2">
        <v>45736</v>
      </c>
      <c r="H178" s="6">
        <f t="shared" si="10"/>
        <v>8</v>
      </c>
      <c r="I178" s="6">
        <f t="shared" si="9"/>
        <v>2</v>
      </c>
      <c r="J178" s="2" t="s">
        <v>31</v>
      </c>
    </row>
    <row r="179" spans="1:12" x14ac:dyDescent="0.25">
      <c r="A179" s="1">
        <v>39876</v>
      </c>
      <c r="B179" s="2" t="s">
        <v>36</v>
      </c>
      <c r="C179" t="s">
        <v>7</v>
      </c>
      <c r="D179" t="s">
        <v>208</v>
      </c>
      <c r="E179" s="2">
        <v>45729</v>
      </c>
      <c r="F179" s="2" cm="1">
        <f t="array" ref="F179">_xlfn.IFS(B179="Owner Surrender",E179,B179="Stray",E179+6,B179="Stray w/identification",E179+11,B179="Bite",E179+10,B179="Other",E179+30,B179="BAS",E179+56,B179="Seized",E179)</f>
        <v>45729</v>
      </c>
      <c r="G179" s="2">
        <v>45733</v>
      </c>
      <c r="H179" s="6">
        <f t="shared" si="10"/>
        <v>4</v>
      </c>
      <c r="I179" s="6">
        <f t="shared" si="9"/>
        <v>4</v>
      </c>
      <c r="J179" s="2" t="s">
        <v>31</v>
      </c>
      <c r="K179" t="s">
        <v>322</v>
      </c>
      <c r="L179" t="s">
        <v>323</v>
      </c>
    </row>
    <row r="180" spans="1:12" x14ac:dyDescent="0.25">
      <c r="A180" s="1">
        <v>39878</v>
      </c>
      <c r="B180" s="2" t="s">
        <v>38</v>
      </c>
      <c r="C180" t="s">
        <v>7</v>
      </c>
      <c r="D180" t="s">
        <v>208</v>
      </c>
      <c r="E180" s="2">
        <v>45729</v>
      </c>
      <c r="F180" s="2" cm="1">
        <f t="array" ref="F180">_xlfn.IFS(B180="Owner Surrender",E180,B180="Stray",E180+6,B180="Stray w/identification",E180+11,B180="Bite",E180+10,B180="Other",E180+30,B180="BAS",E180+56,B180="Seized",E180)</f>
        <v>45735</v>
      </c>
      <c r="G180" s="2">
        <v>45742</v>
      </c>
      <c r="H180" s="6">
        <f t="shared" si="10"/>
        <v>13</v>
      </c>
      <c r="I180" s="6">
        <f t="shared" si="9"/>
        <v>7</v>
      </c>
      <c r="J180" s="2" t="s">
        <v>18</v>
      </c>
      <c r="K180" t="s">
        <v>337</v>
      </c>
    </row>
    <row r="181" spans="1:12" x14ac:dyDescent="0.25">
      <c r="A181" s="1">
        <v>39880</v>
      </c>
      <c r="B181" s="2" t="s">
        <v>38</v>
      </c>
      <c r="C181" t="s">
        <v>7</v>
      </c>
      <c r="D181" t="s">
        <v>208</v>
      </c>
      <c r="E181" s="2">
        <v>45729</v>
      </c>
      <c r="F181" s="2" cm="1">
        <f t="array" ref="F181">_xlfn.IFS(B181="Owner Surrender",E181,B181="Stray",E181+6,B181="Stray w/identification",E181+11,B181="Bite",E181+10,B181="Other",E181+30,B181="BAS",E181+56,B181="Seized",E181)</f>
        <v>45735</v>
      </c>
      <c r="G181" s="2">
        <v>45736</v>
      </c>
      <c r="H181" s="6">
        <f t="shared" si="10"/>
        <v>7</v>
      </c>
      <c r="I181" s="6">
        <f t="shared" si="9"/>
        <v>1</v>
      </c>
      <c r="J181" s="2" t="s">
        <v>31</v>
      </c>
      <c r="L181" t="s">
        <v>34</v>
      </c>
    </row>
    <row r="182" spans="1:12" x14ac:dyDescent="0.25">
      <c r="A182" s="1">
        <v>39887</v>
      </c>
      <c r="B182" s="2" t="s">
        <v>38</v>
      </c>
      <c r="C182" t="s">
        <v>7</v>
      </c>
      <c r="D182" t="s">
        <v>208</v>
      </c>
      <c r="E182" s="2">
        <v>45729</v>
      </c>
      <c r="F182" s="2" cm="1">
        <f t="array" ref="F182">_xlfn.IFS(B182="Owner Surrender",E182,B182="Stray",E182+6,B182="Stray w/identification",E182+11,B182="Bite",E182+10,B182="Other",E182+30,B182="BAS",E182+56,B182="Seized",E182)</f>
        <v>45735</v>
      </c>
      <c r="G182" s="2">
        <v>45740</v>
      </c>
      <c r="H182" s="6">
        <f t="shared" si="10"/>
        <v>11</v>
      </c>
      <c r="I182" s="6">
        <f t="shared" si="9"/>
        <v>5</v>
      </c>
      <c r="J182" s="2" t="s">
        <v>18</v>
      </c>
      <c r="K182" t="s">
        <v>336</v>
      </c>
    </row>
    <row r="183" spans="1:12" x14ac:dyDescent="0.25">
      <c r="A183" s="1">
        <v>39888</v>
      </c>
      <c r="B183" s="2" t="s">
        <v>38</v>
      </c>
      <c r="C183" t="s">
        <v>7</v>
      </c>
      <c r="D183" t="s">
        <v>208</v>
      </c>
      <c r="E183" s="2">
        <v>45730</v>
      </c>
      <c r="F183" s="2" cm="1">
        <f t="array" ref="F183">_xlfn.IFS(B183="Owner Surrender",E183,B183="Stray",E183+6,B183="Stray w/identification",E183+11,B183="Bite",E183+10,B183="Other",E183+30,B183="BAS",E183+56,B183="Seized",E183)</f>
        <v>45736</v>
      </c>
      <c r="G183" s="2">
        <v>45740</v>
      </c>
      <c r="H183" s="6">
        <f t="shared" si="10"/>
        <v>10</v>
      </c>
      <c r="I183" s="6">
        <f t="shared" si="9"/>
        <v>4</v>
      </c>
      <c r="J183" s="2" t="s">
        <v>18</v>
      </c>
      <c r="K183" t="s">
        <v>335</v>
      </c>
    </row>
    <row r="184" spans="1:12" x14ac:dyDescent="0.25">
      <c r="A184" s="1">
        <v>39890</v>
      </c>
      <c r="B184" s="2" t="s">
        <v>38</v>
      </c>
      <c r="C184" t="s">
        <v>7</v>
      </c>
      <c r="D184" t="s">
        <v>208</v>
      </c>
      <c r="E184" s="2">
        <v>45730</v>
      </c>
      <c r="F184" s="2" cm="1">
        <f t="array" ref="F184">_xlfn.IFS(B184="Owner Surrender",E184,B184="Stray",E184+6,B184="Stray w/identification",E184+11,B184="Bite",E184+10,B184="Other",E184+30,B184="BAS",E184+56,B184="Seized",E184)</f>
        <v>45736</v>
      </c>
      <c r="G184" s="2">
        <v>45737</v>
      </c>
      <c r="H184" s="6">
        <f t="shared" si="10"/>
        <v>7</v>
      </c>
      <c r="I184" s="6">
        <f t="shared" si="9"/>
        <v>1</v>
      </c>
      <c r="J184" s="2" t="s">
        <v>31</v>
      </c>
      <c r="L184" t="s">
        <v>34</v>
      </c>
    </row>
    <row r="185" spans="1:12" x14ac:dyDescent="0.25">
      <c r="A185" s="1">
        <v>39892</v>
      </c>
      <c r="B185" s="2" t="s">
        <v>38</v>
      </c>
      <c r="C185" t="s">
        <v>7</v>
      </c>
      <c r="D185" t="s">
        <v>210</v>
      </c>
      <c r="E185" s="2">
        <v>45731</v>
      </c>
      <c r="F185" s="2" cm="1">
        <f t="array" ref="F185">_xlfn.IFS(B185="Owner Surrender",E185,B185="Stray",E185+6,B185="Stray w/identification",E185+11,B185="Bite",E185+10,B185="Other",E185+30,B185="BAS",E185+56,B185="Seized",E185)</f>
        <v>45737</v>
      </c>
      <c r="G185" s="2">
        <v>45737</v>
      </c>
      <c r="H185" s="6">
        <f t="shared" si="10"/>
        <v>6</v>
      </c>
      <c r="I185" s="6">
        <f t="shared" si="9"/>
        <v>0</v>
      </c>
      <c r="J185" s="2" t="s">
        <v>31</v>
      </c>
    </row>
    <row r="186" spans="1:12" x14ac:dyDescent="0.25">
      <c r="A186" s="1">
        <v>39893</v>
      </c>
      <c r="B186" s="2" t="s">
        <v>36</v>
      </c>
      <c r="C186" t="s">
        <v>15</v>
      </c>
      <c r="D186" t="s">
        <v>211</v>
      </c>
      <c r="E186" s="2">
        <v>45731</v>
      </c>
      <c r="F186" s="2" cm="1">
        <f t="array" ref="F186">_xlfn.IFS(B186="Owner Surrender",E186,B186="Stray",E186+6,B186="Stray w/identification",E186+11,B186="Bite",E186+10,B186="Other",E186+30,B186="BAS",E186+56,B186="Seized",E186)</f>
        <v>45731</v>
      </c>
      <c r="G186" s="2">
        <v>45731</v>
      </c>
      <c r="H186" s="6">
        <f t="shared" si="10"/>
        <v>0</v>
      </c>
      <c r="I186" s="6">
        <f t="shared" si="9"/>
        <v>0</v>
      </c>
      <c r="J186" s="2" t="s">
        <v>31</v>
      </c>
      <c r="K186" t="s">
        <v>17</v>
      </c>
    </row>
    <row r="187" spans="1:12" x14ac:dyDescent="0.25">
      <c r="A187" s="1">
        <v>39894</v>
      </c>
      <c r="B187" s="2" t="s">
        <v>38</v>
      </c>
      <c r="C187" t="s">
        <v>10</v>
      </c>
      <c r="D187" t="s">
        <v>209</v>
      </c>
      <c r="E187" s="2">
        <v>45731</v>
      </c>
      <c r="F187" s="2" cm="1">
        <f t="array" ref="F187">_xlfn.IFS(B187="Owner Surrender",E187,B187="Stray",E187+6,B187="Stray w/identification",E187+11,B187="Bite",E187+10,B187="Other",E187+30,B187="BAS",E187+56,B187="Seized",E187)</f>
        <v>45737</v>
      </c>
      <c r="G187" s="2">
        <v>45740</v>
      </c>
      <c r="H187" s="6">
        <f t="shared" si="10"/>
        <v>9</v>
      </c>
      <c r="I187" s="6">
        <f t="shared" ref="I187:I223" si="11">G187-F187</f>
        <v>3</v>
      </c>
      <c r="J187" s="2" t="s">
        <v>18</v>
      </c>
      <c r="K187" t="s">
        <v>334</v>
      </c>
    </row>
    <row r="188" spans="1:12" x14ac:dyDescent="0.25">
      <c r="A188" s="1">
        <v>39895</v>
      </c>
      <c r="B188" s="2" t="s">
        <v>38</v>
      </c>
      <c r="C188" t="s">
        <v>7</v>
      </c>
      <c r="D188" t="s">
        <v>208</v>
      </c>
      <c r="E188" s="2">
        <v>45731</v>
      </c>
      <c r="F188" s="2" cm="1">
        <f t="array" ref="F188">_xlfn.IFS(B188="Owner Surrender",E188,B188="Stray",E188+6,B188="Stray w/identification",E188+11,B188="Bite",E188+10,B188="Other",E188+30,B188="BAS",E188+56,B188="Seized",E188)</f>
        <v>45737</v>
      </c>
      <c r="G188" s="2">
        <v>45737</v>
      </c>
      <c r="H188" s="6">
        <f t="shared" si="10"/>
        <v>6</v>
      </c>
      <c r="I188" s="6">
        <f t="shared" si="11"/>
        <v>0</v>
      </c>
      <c r="J188" s="2" t="s">
        <v>31</v>
      </c>
      <c r="L188" t="s">
        <v>34</v>
      </c>
    </row>
    <row r="189" spans="1:12" x14ac:dyDescent="0.25">
      <c r="A189" s="1">
        <v>39897</v>
      </c>
      <c r="B189" s="2" t="s">
        <v>38</v>
      </c>
      <c r="C189" t="s">
        <v>7</v>
      </c>
      <c r="D189" t="s">
        <v>208</v>
      </c>
      <c r="E189" s="2">
        <v>45733</v>
      </c>
      <c r="F189" s="2" cm="1">
        <f t="array" ref="F189">_xlfn.IFS(B189="Owner Surrender",E189,B189="Stray",E189+6,B189="Stray w/identification",E189+11,B189="Bite",E189+10,B189="Other",E189+30,B189="BAS",E189+56,B189="Seized",E189)</f>
        <v>45739</v>
      </c>
      <c r="G189" s="2">
        <v>45740</v>
      </c>
      <c r="H189" s="6">
        <f t="shared" si="10"/>
        <v>7</v>
      </c>
      <c r="I189" s="6">
        <f t="shared" si="11"/>
        <v>1</v>
      </c>
      <c r="J189" s="2" t="s">
        <v>18</v>
      </c>
      <c r="L189" t="s">
        <v>34</v>
      </c>
    </row>
    <row r="190" spans="1:12" x14ac:dyDescent="0.25">
      <c r="A190" s="1">
        <v>39904</v>
      </c>
      <c r="B190" s="2" t="s">
        <v>36</v>
      </c>
      <c r="C190" t="s">
        <v>7</v>
      </c>
      <c r="D190" t="s">
        <v>208</v>
      </c>
      <c r="E190" s="2">
        <v>45733</v>
      </c>
      <c r="F190" s="2" cm="1">
        <f t="array" ref="F190">_xlfn.IFS(B190="Owner Surrender",E190,B190="Stray",E190+6,B190="Stray w/identification",E190+11,B190="Bite",E190+10,B190="Other",E190+30,B190="BAS",E190+56,B190="Seized",E190)</f>
        <v>45733</v>
      </c>
      <c r="G190" s="2">
        <v>45740</v>
      </c>
      <c r="H190" s="6">
        <f t="shared" si="10"/>
        <v>7</v>
      </c>
      <c r="I190" s="6">
        <f t="shared" si="11"/>
        <v>7</v>
      </c>
      <c r="J190" s="2" t="s">
        <v>18</v>
      </c>
      <c r="K190" t="s">
        <v>333</v>
      </c>
    </row>
    <row r="191" spans="1:12" x14ac:dyDescent="0.25">
      <c r="A191" s="1">
        <v>39907</v>
      </c>
      <c r="B191" s="2" t="s">
        <v>36</v>
      </c>
      <c r="C191" t="s">
        <v>10</v>
      </c>
      <c r="D191" t="s">
        <v>208</v>
      </c>
      <c r="E191" s="2">
        <v>45734</v>
      </c>
      <c r="F191" s="2" cm="1">
        <f t="array" ref="F191">_xlfn.IFS(B191="Owner Surrender",E191,B191="Stray",E191+6,B191="Stray w/identification",E191+11,B191="Bite",E191+10,B191="Other",E191+30,B191="BAS",E191+56,B191="Seized",E191)</f>
        <v>45734</v>
      </c>
      <c r="G191" s="2">
        <v>45736</v>
      </c>
      <c r="H191" s="6">
        <f t="shared" si="10"/>
        <v>2</v>
      </c>
      <c r="I191" s="6">
        <f t="shared" si="11"/>
        <v>2</v>
      </c>
      <c r="J191" s="2" t="s">
        <v>31</v>
      </c>
    </row>
    <row r="192" spans="1:12" x14ac:dyDescent="0.25">
      <c r="A192" s="1">
        <v>39908</v>
      </c>
      <c r="B192" s="2" t="s">
        <v>36</v>
      </c>
      <c r="C192" t="s">
        <v>15</v>
      </c>
      <c r="D192" t="s">
        <v>209</v>
      </c>
      <c r="E192" s="2">
        <v>45734</v>
      </c>
      <c r="F192" s="2" cm="1">
        <f t="array" ref="F192">_xlfn.IFS(B192="Owner Surrender",E192,B192="Stray",E192+6,B192="Stray w/identification",E192+11,B192="Bite",E192+10,B192="Other",E192+30,B192="BAS",E192+56,B192="Seized",E192)</f>
        <v>45734</v>
      </c>
      <c r="G192" s="2">
        <v>45736</v>
      </c>
      <c r="H192" s="6">
        <f t="shared" si="10"/>
        <v>2</v>
      </c>
      <c r="I192" s="6">
        <f t="shared" si="11"/>
        <v>2</v>
      </c>
      <c r="J192" s="2" t="s">
        <v>31</v>
      </c>
    </row>
    <row r="193" spans="1:12" x14ac:dyDescent="0.25">
      <c r="A193" s="1">
        <v>39916</v>
      </c>
      <c r="B193" s="2" t="s">
        <v>38</v>
      </c>
      <c r="C193" t="s">
        <v>7</v>
      </c>
      <c r="D193" t="s">
        <v>208</v>
      </c>
      <c r="E193" s="2">
        <v>45734</v>
      </c>
      <c r="F193" s="2" cm="1">
        <f t="array" ref="F193">_xlfn.IFS(B193="Owner Surrender",E193,B193="Stray",E193+6,B193="Stray w/identification",E193+11,B193="Bite",E193+10,B193="Other",E193+30,B193="BAS",E193+56,B193="Seized",E193)</f>
        <v>45740</v>
      </c>
      <c r="G193" s="2">
        <v>45742</v>
      </c>
      <c r="H193" s="6">
        <f t="shared" si="10"/>
        <v>8</v>
      </c>
      <c r="I193" s="6">
        <f t="shared" si="11"/>
        <v>2</v>
      </c>
      <c r="J193" s="2" t="s">
        <v>18</v>
      </c>
      <c r="L193" t="s">
        <v>34</v>
      </c>
    </row>
    <row r="194" spans="1:12" x14ac:dyDescent="0.25">
      <c r="A194" s="1">
        <v>39921</v>
      </c>
      <c r="B194" s="2" t="s">
        <v>38</v>
      </c>
      <c r="C194" t="s">
        <v>7</v>
      </c>
      <c r="D194" t="s">
        <v>208</v>
      </c>
      <c r="E194" s="2">
        <v>45735</v>
      </c>
      <c r="F194" s="2" cm="1">
        <f t="array" ref="F194">_xlfn.IFS(B194="Owner Surrender",E194,B194="Stray",E194+6,B194="Stray w/identification",E194+11,B194="Bite",E194+10,B194="Other",E194+30,B194="BAS",E194+56,B194="Seized",E194)</f>
        <v>45741</v>
      </c>
      <c r="G194" s="2">
        <v>45747</v>
      </c>
      <c r="H194" s="6">
        <f t="shared" si="10"/>
        <v>12</v>
      </c>
      <c r="I194" s="6">
        <f t="shared" si="11"/>
        <v>6</v>
      </c>
      <c r="J194" s="2" t="s">
        <v>31</v>
      </c>
      <c r="K194" t="s">
        <v>332</v>
      </c>
    </row>
    <row r="195" spans="1:12" x14ac:dyDescent="0.25">
      <c r="A195" s="1">
        <v>39922</v>
      </c>
      <c r="B195" s="2" t="s">
        <v>38</v>
      </c>
      <c r="C195" t="s">
        <v>7</v>
      </c>
      <c r="D195" t="s">
        <v>208</v>
      </c>
      <c r="E195" s="2">
        <v>45735</v>
      </c>
      <c r="F195" s="2" cm="1">
        <f t="array" ref="F195">_xlfn.IFS(B195="Owner Surrender",E195,B195="Stray",E195+6,B195="Stray w/identification",E195+11,B195="Bite",E195+10,B195="Other",E195+30,B195="BAS",E195+56,B195="Seized",E195)</f>
        <v>45741</v>
      </c>
      <c r="G195" s="2">
        <v>45747</v>
      </c>
      <c r="H195" s="6">
        <f t="shared" si="10"/>
        <v>12</v>
      </c>
      <c r="I195" s="6">
        <f t="shared" si="11"/>
        <v>6</v>
      </c>
      <c r="J195" s="2" t="s">
        <v>31</v>
      </c>
      <c r="K195" t="s">
        <v>331</v>
      </c>
    </row>
    <row r="196" spans="1:12" x14ac:dyDescent="0.25">
      <c r="A196" s="1">
        <v>39924</v>
      </c>
      <c r="B196" s="2" t="s">
        <v>38</v>
      </c>
      <c r="C196" t="s">
        <v>7</v>
      </c>
      <c r="D196" t="s">
        <v>209</v>
      </c>
      <c r="E196" s="2">
        <v>45735</v>
      </c>
      <c r="F196" s="2" cm="1">
        <f t="array" ref="F196">_xlfn.IFS(B196="Owner Surrender",E196,B196="Stray",E196+6,B196="Stray w/identification",E196+11,B196="Bite",E196+10,B196="Other",Blank)</f>
        <v>45741</v>
      </c>
      <c r="G196" s="2">
        <v>45757</v>
      </c>
      <c r="H196" s="6">
        <f t="shared" si="10"/>
        <v>22</v>
      </c>
      <c r="I196" s="6">
        <f t="shared" si="11"/>
        <v>16</v>
      </c>
      <c r="J196" s="2" t="s">
        <v>18</v>
      </c>
    </row>
    <row r="197" spans="1:12" x14ac:dyDescent="0.25">
      <c r="A197" s="1">
        <v>39925</v>
      </c>
      <c r="B197" s="2" t="s">
        <v>38</v>
      </c>
      <c r="C197" t="s">
        <v>7</v>
      </c>
      <c r="D197" t="s">
        <v>208</v>
      </c>
      <c r="E197" s="2">
        <v>45734</v>
      </c>
      <c r="F197" s="2" cm="1">
        <f t="array" ref="F197">_xlfn.IFS(B197="Owner Surrender",E197,B197="Stray",E197+6,B197="Stray w/identification",E197+11,B197="Bite",E197+10,B197="Other",E197+30,B197="BAS",E197+56,B197="Seized",E197)</f>
        <v>45740</v>
      </c>
      <c r="G197" s="2">
        <v>45743</v>
      </c>
      <c r="H197" s="6">
        <f t="shared" si="10"/>
        <v>9</v>
      </c>
      <c r="I197" s="6">
        <f t="shared" si="11"/>
        <v>3</v>
      </c>
      <c r="J197" s="2" t="s">
        <v>31</v>
      </c>
      <c r="L197" t="s">
        <v>34</v>
      </c>
    </row>
    <row r="198" spans="1:12" x14ac:dyDescent="0.25">
      <c r="A198" s="1">
        <v>39926</v>
      </c>
      <c r="B198" s="2" t="s">
        <v>38</v>
      </c>
      <c r="C198" t="s">
        <v>7</v>
      </c>
      <c r="D198" t="s">
        <v>209</v>
      </c>
      <c r="E198" s="2">
        <v>45735</v>
      </c>
      <c r="F198" s="2" cm="1">
        <f t="array" ref="F198">_xlfn.IFS(B198="Owner Surrender",E198,B198="Stray",E198+6,B198="Stray w/identification",E198+11,B198="Bite",E198+10,B198="Other",E198+30,B198="BAS",E198+56,B198="Seized",E198)</f>
        <v>45741</v>
      </c>
      <c r="G198" s="2">
        <v>45735</v>
      </c>
      <c r="H198" s="6">
        <f t="shared" si="10"/>
        <v>0</v>
      </c>
      <c r="I198" s="6">
        <f t="shared" si="11"/>
        <v>-6</v>
      </c>
      <c r="J198" s="2" t="s">
        <v>31</v>
      </c>
      <c r="L198" t="s">
        <v>47</v>
      </c>
    </row>
    <row r="199" spans="1:12" x14ac:dyDescent="0.25">
      <c r="A199" s="1">
        <v>39927</v>
      </c>
      <c r="B199" s="2" t="s">
        <v>38</v>
      </c>
      <c r="C199" t="s">
        <v>7</v>
      </c>
      <c r="D199" t="s">
        <v>209</v>
      </c>
      <c r="E199" s="2">
        <v>45735</v>
      </c>
      <c r="F199" s="2" cm="1">
        <f t="array" ref="F199">_xlfn.IFS(B199="Owner Surrender",E199,B199="Stray",E199+6,B199="Stray w/identification",E199+11,B199="Bite",E199+10,B199="Other",E199+30,B199="BAS",E199+56,B199="Seized",E199)</f>
        <v>45741</v>
      </c>
      <c r="G199" s="2">
        <v>45735</v>
      </c>
      <c r="H199" s="6">
        <f t="shared" si="10"/>
        <v>0</v>
      </c>
      <c r="I199" s="6">
        <f t="shared" si="11"/>
        <v>-6</v>
      </c>
      <c r="J199" s="2" t="s">
        <v>31</v>
      </c>
      <c r="L199" t="s">
        <v>47</v>
      </c>
    </row>
    <row r="200" spans="1:12" x14ac:dyDescent="0.25">
      <c r="A200" s="1">
        <v>39928</v>
      </c>
      <c r="B200" s="2" t="s">
        <v>38</v>
      </c>
      <c r="C200" t="s">
        <v>7</v>
      </c>
      <c r="D200" t="s">
        <v>209</v>
      </c>
      <c r="E200" s="2">
        <v>45735</v>
      </c>
      <c r="F200" s="2" cm="1">
        <f t="array" ref="F200">_xlfn.IFS(B200="Owner Surrender",E200,B200="Stray",E200+6,B200="Stray w/identification",E200+11,B200="Bite",E200+10,B200="Other",E200+30,B200="BAS",E200+56,B200="Seized",E200)</f>
        <v>45741</v>
      </c>
      <c r="G200" s="2">
        <v>45735</v>
      </c>
      <c r="H200" s="6">
        <f t="shared" si="10"/>
        <v>0</v>
      </c>
      <c r="I200" s="6">
        <f t="shared" si="11"/>
        <v>-6</v>
      </c>
      <c r="J200" s="2" t="s">
        <v>31</v>
      </c>
      <c r="L200" t="s">
        <v>47</v>
      </c>
    </row>
    <row r="201" spans="1:12" x14ac:dyDescent="0.25">
      <c r="A201" s="1">
        <v>39929</v>
      </c>
      <c r="B201" s="2" t="s">
        <v>38</v>
      </c>
      <c r="C201" t="s">
        <v>7</v>
      </c>
      <c r="D201" t="s">
        <v>209</v>
      </c>
      <c r="E201" s="2">
        <v>45735</v>
      </c>
      <c r="F201" s="2" cm="1">
        <f t="array" ref="F201">_xlfn.IFS(B201="Owner Surrender",E201,B201="Stray",E201+6,B201="Stray w/identification",E201+11,B201="Bite",E201+10,B201="Other",E201+30,B201="BAS",E201+56,B201="Seized",E201)</f>
        <v>45741</v>
      </c>
      <c r="G201" s="2">
        <v>45735</v>
      </c>
      <c r="H201" s="6">
        <f t="shared" si="10"/>
        <v>0</v>
      </c>
      <c r="I201" s="6">
        <f t="shared" si="11"/>
        <v>-6</v>
      </c>
      <c r="J201" s="2" t="s">
        <v>31</v>
      </c>
      <c r="L201" t="s">
        <v>47</v>
      </c>
    </row>
    <row r="202" spans="1:12" x14ac:dyDescent="0.25">
      <c r="A202" s="1">
        <v>39930</v>
      </c>
      <c r="B202" s="2" t="s">
        <v>38</v>
      </c>
      <c r="C202" t="s">
        <v>7</v>
      </c>
      <c r="D202" t="s">
        <v>208</v>
      </c>
      <c r="E202" s="2">
        <v>45735</v>
      </c>
      <c r="F202" s="2" cm="1">
        <f t="array" ref="F202">_xlfn.IFS(B202="Owner Surrender",E202,B202="Stray",E202+6,B202="Stray w/identification",E202+11,B202="Bite",E202+10,B202="Other",E202+30,B202="BAS",E202+56,B202="Seized",E202)</f>
        <v>45741</v>
      </c>
      <c r="G202" s="2">
        <v>45743</v>
      </c>
      <c r="H202" s="6">
        <f t="shared" si="10"/>
        <v>8</v>
      </c>
      <c r="I202" s="6">
        <f t="shared" si="11"/>
        <v>2</v>
      </c>
      <c r="J202" s="2" t="s">
        <v>31</v>
      </c>
    </row>
    <row r="203" spans="1:12" x14ac:dyDescent="0.25">
      <c r="A203" s="1">
        <v>39931</v>
      </c>
      <c r="B203" s="2" t="s">
        <v>38</v>
      </c>
      <c r="C203" t="s">
        <v>10</v>
      </c>
      <c r="D203" t="s">
        <v>208</v>
      </c>
      <c r="E203" s="2">
        <v>45736</v>
      </c>
      <c r="F203" s="2" cm="1">
        <f t="array" ref="F203">_xlfn.IFS(B203="Owner Surrender",E203,B203="Stray",E203+6,B203="Stray w/identification",E203+11,B203="Bite",E203+10,B203="Other",E203+30,B203="BAS",E203+56,B203="Seized",E203)</f>
        <v>45742</v>
      </c>
      <c r="G203" s="2">
        <v>45743</v>
      </c>
      <c r="H203" s="6">
        <f t="shared" si="10"/>
        <v>7</v>
      </c>
      <c r="I203" s="6">
        <f t="shared" si="11"/>
        <v>1</v>
      </c>
      <c r="J203" s="2" t="s">
        <v>31</v>
      </c>
    </row>
    <row r="204" spans="1:12" x14ac:dyDescent="0.25">
      <c r="A204" s="1">
        <v>39945</v>
      </c>
      <c r="B204" s="2" t="s">
        <v>36</v>
      </c>
      <c r="C204" t="s">
        <v>7</v>
      </c>
      <c r="D204" t="s">
        <v>209</v>
      </c>
      <c r="E204" s="2">
        <v>45736</v>
      </c>
      <c r="F204" s="2" cm="1">
        <f t="array" ref="F204">_xlfn.IFS(B204="Owner Surrender",E204,B204="Stray",E204+6,B204="Stray w/identification",E204+11,B204="Bite",E204+10,B204="Other",E204+30,B204="BAS",E204+56,B204="Seized",E204)</f>
        <v>45736</v>
      </c>
      <c r="G204" s="2">
        <v>45740</v>
      </c>
      <c r="H204" s="6">
        <f t="shared" si="10"/>
        <v>4</v>
      </c>
      <c r="I204" s="6">
        <f t="shared" si="11"/>
        <v>4</v>
      </c>
      <c r="J204" s="2" t="s">
        <v>18</v>
      </c>
    </row>
    <row r="205" spans="1:12" x14ac:dyDescent="0.25">
      <c r="A205" s="1">
        <v>39946</v>
      </c>
      <c r="B205" s="2" t="s">
        <v>36</v>
      </c>
      <c r="C205" t="s">
        <v>7</v>
      </c>
      <c r="D205" t="s">
        <v>209</v>
      </c>
      <c r="E205" s="2">
        <v>45736</v>
      </c>
      <c r="F205" s="2" cm="1">
        <f t="array" ref="F205">_xlfn.IFS(B205="Owner Surrender",E205,B205="Stray",E205+6,B205="Stray w/identification",E205+11,B205="Bite",E205+10,B205="Other",E205+30,B205="BAS",E205+56,B205="Seized",E205)</f>
        <v>45736</v>
      </c>
      <c r="G205" s="2">
        <v>45740</v>
      </c>
      <c r="H205" s="6">
        <f t="shared" si="10"/>
        <v>4</v>
      </c>
      <c r="I205" s="6">
        <f t="shared" si="11"/>
        <v>4</v>
      </c>
      <c r="J205" s="2" t="s">
        <v>18</v>
      </c>
    </row>
    <row r="206" spans="1:12" x14ac:dyDescent="0.25">
      <c r="A206" s="1">
        <v>39947</v>
      </c>
      <c r="B206" s="2" t="s">
        <v>36</v>
      </c>
      <c r="C206" t="s">
        <v>7</v>
      </c>
      <c r="D206" t="s">
        <v>209</v>
      </c>
      <c r="E206" s="2">
        <v>45736</v>
      </c>
      <c r="F206" s="2" cm="1">
        <f t="array" ref="F206">_xlfn.IFS(B206="Owner Surrender",E206,B206="Stray",E206+6,B206="Stray w/identification",E206+11,B206="Bite",E206+10,B206="Other",E206+30,B206="BAS",E206+56,B206="Seized",E206)</f>
        <v>45736</v>
      </c>
      <c r="G206" s="2">
        <v>45740</v>
      </c>
      <c r="H206" s="6">
        <f t="shared" si="10"/>
        <v>4</v>
      </c>
      <c r="I206" s="6">
        <f t="shared" si="11"/>
        <v>4</v>
      </c>
      <c r="J206" s="2" t="s">
        <v>18</v>
      </c>
    </row>
    <row r="207" spans="1:12" x14ac:dyDescent="0.25">
      <c r="A207" s="1">
        <v>39948</v>
      </c>
      <c r="B207" s="2" t="s">
        <v>36</v>
      </c>
      <c r="C207" t="s">
        <v>7</v>
      </c>
      <c r="D207" t="s">
        <v>209</v>
      </c>
      <c r="E207" s="2">
        <v>45736</v>
      </c>
      <c r="F207" s="2" cm="1">
        <f t="array" ref="F207">_xlfn.IFS(B207="Owner Surrender",E207,B207="Stray",E207+6,B207="Stray w/identification",E207+11,B207="Bite",E207+10,B207="Other",E207+30,B207="BAS",E207+56,B207="Seized",E207)</f>
        <v>45736</v>
      </c>
      <c r="G207" s="2">
        <v>45740</v>
      </c>
      <c r="H207" s="6">
        <f t="shared" si="10"/>
        <v>4</v>
      </c>
      <c r="I207" s="6">
        <f t="shared" si="11"/>
        <v>4</v>
      </c>
      <c r="J207" s="2" t="s">
        <v>18</v>
      </c>
    </row>
    <row r="208" spans="1:12" x14ac:dyDescent="0.25">
      <c r="A208" s="1">
        <v>39949</v>
      </c>
      <c r="B208" s="2" t="s">
        <v>36</v>
      </c>
      <c r="C208" t="s">
        <v>7</v>
      </c>
      <c r="D208" t="s">
        <v>209</v>
      </c>
      <c r="E208" s="2">
        <v>45736</v>
      </c>
      <c r="F208" s="2" cm="1">
        <f t="array" ref="F208">_xlfn.IFS(B208="Owner Surrender",E208,B208="Stray",E208+6,B208="Stray w/identification",E208+11,B208="Bite",E208+10,B208="Other",E208+30,B208="BAS",E208+56,B208="Seized",E208)</f>
        <v>45736</v>
      </c>
      <c r="G208" s="2">
        <v>45740</v>
      </c>
      <c r="H208" s="6">
        <f t="shared" si="10"/>
        <v>4</v>
      </c>
      <c r="I208" s="6">
        <f t="shared" si="11"/>
        <v>4</v>
      </c>
      <c r="J208" s="2" t="s">
        <v>18</v>
      </c>
    </row>
    <row r="209" spans="1:12" x14ac:dyDescent="0.25">
      <c r="A209" s="1">
        <v>39950</v>
      </c>
      <c r="B209" s="2" t="s">
        <v>36</v>
      </c>
      <c r="C209" t="s">
        <v>7</v>
      </c>
      <c r="D209" t="s">
        <v>208</v>
      </c>
      <c r="E209" s="2">
        <v>45736</v>
      </c>
      <c r="F209" s="2" cm="1">
        <f t="array" ref="F209">_xlfn.IFS(B209="Owner Surrender",E209,B209="Stray",E209+6,B209="Stray w/identification",E209+11,B209="Bite",E209+10,B209="Other",E209+30,B209="BAS",E209+56,B209="Seized",E209)</f>
        <v>45736</v>
      </c>
      <c r="G209" s="2">
        <v>45740</v>
      </c>
      <c r="H209" s="6">
        <f t="shared" si="10"/>
        <v>4</v>
      </c>
      <c r="I209" s="6">
        <f t="shared" si="11"/>
        <v>4</v>
      </c>
      <c r="J209" s="2" t="s">
        <v>18</v>
      </c>
    </row>
    <row r="210" spans="1:12" x14ac:dyDescent="0.25">
      <c r="A210" s="1">
        <v>39952</v>
      </c>
      <c r="B210" s="2" t="s">
        <v>180</v>
      </c>
      <c r="C210" t="s">
        <v>10</v>
      </c>
      <c r="D210" t="s">
        <v>208</v>
      </c>
      <c r="E210" s="2">
        <v>45736</v>
      </c>
      <c r="F210" s="2" cm="1">
        <f t="array" ref="F210">_xlfn.IFS(B210="Owner Surrender",E210,B210="Stray",E210+6,B210="Stray w/identification",E210+11,B210="Bite",E210+10,B210="Other",Blank)</f>
        <v>45747</v>
      </c>
      <c r="G210" s="2">
        <v>45751</v>
      </c>
      <c r="H210" s="6">
        <f t="shared" si="10"/>
        <v>15</v>
      </c>
      <c r="I210" s="6">
        <f t="shared" si="11"/>
        <v>4</v>
      </c>
      <c r="J210" s="2" t="s">
        <v>31</v>
      </c>
      <c r="K210" t="s">
        <v>233</v>
      </c>
    </row>
    <row r="211" spans="1:12" x14ac:dyDescent="0.25">
      <c r="A211" s="1">
        <v>39955</v>
      </c>
      <c r="B211" s="2" t="s">
        <v>38</v>
      </c>
      <c r="C211" t="s">
        <v>7</v>
      </c>
      <c r="D211" t="s">
        <v>208</v>
      </c>
      <c r="E211" s="2">
        <v>45737</v>
      </c>
      <c r="F211" s="2" cm="1">
        <f t="array" ref="F211">_xlfn.IFS(B211="Owner Surrender",E211,B211="Stray",E211+6,B211="Stray w/identification",E211+11,B211="Bite",E211+10,B211="Other",E211+30,B211="BAS",E211+56,B211="Seized",E211)</f>
        <v>45743</v>
      </c>
      <c r="G211" s="2">
        <v>45743</v>
      </c>
      <c r="H211" s="6">
        <f t="shared" si="10"/>
        <v>6</v>
      </c>
      <c r="I211" s="6">
        <f t="shared" si="11"/>
        <v>0</v>
      </c>
      <c r="J211" s="2" t="s">
        <v>31</v>
      </c>
    </row>
    <row r="212" spans="1:12" x14ac:dyDescent="0.25">
      <c r="A212" s="1">
        <v>39956</v>
      </c>
      <c r="B212" s="2" t="s">
        <v>38</v>
      </c>
      <c r="C212" t="s">
        <v>7</v>
      </c>
      <c r="D212" t="s">
        <v>208</v>
      </c>
      <c r="E212" s="2">
        <v>45737</v>
      </c>
      <c r="F212" s="2" cm="1">
        <f t="array" ref="F212">_xlfn.IFS(B212="Owner Surrender",E212,B212="Stray",E212+6,B212="Stray w/identification",E212+11,B212="Bite",E212+10,B212="Other",E212+30,B212="BAS",E212+56,B212="Seized",E212)</f>
        <v>45743</v>
      </c>
      <c r="G212" s="2">
        <v>45747</v>
      </c>
      <c r="H212" s="6">
        <f t="shared" si="10"/>
        <v>10</v>
      </c>
      <c r="I212" s="6">
        <f t="shared" si="11"/>
        <v>4</v>
      </c>
      <c r="J212" s="2" t="s">
        <v>31</v>
      </c>
    </row>
    <row r="213" spans="1:12" x14ac:dyDescent="0.25">
      <c r="A213" s="1">
        <v>39957</v>
      </c>
      <c r="B213" s="2" t="s">
        <v>38</v>
      </c>
      <c r="C213" t="s">
        <v>7</v>
      </c>
      <c r="D213" t="s">
        <v>209</v>
      </c>
      <c r="E213" s="2">
        <v>45738</v>
      </c>
      <c r="F213" s="2" cm="1">
        <f t="array" ref="F213">_xlfn.IFS(B213="Owner Surrender",E213,B213="Stray",E213+6,B213="Stray w/identification",E213+11,B213="Bite",E213+10,B213="Other",E213+30,B213="BAS",E213+56,B213="Seized",E213)</f>
        <v>45744</v>
      </c>
      <c r="G213" s="2">
        <v>45738</v>
      </c>
      <c r="H213" s="6">
        <f t="shared" si="10"/>
        <v>0</v>
      </c>
      <c r="I213" s="6">
        <f t="shared" si="11"/>
        <v>-6</v>
      </c>
      <c r="J213" s="2" t="s">
        <v>31</v>
      </c>
      <c r="L213" t="s">
        <v>47</v>
      </c>
    </row>
    <row r="214" spans="1:12" x14ac:dyDescent="0.25">
      <c r="A214" s="1">
        <v>39958</v>
      </c>
      <c r="B214" s="2" t="s">
        <v>38</v>
      </c>
      <c r="C214" t="s">
        <v>7</v>
      </c>
      <c r="D214" t="s">
        <v>210</v>
      </c>
      <c r="E214" s="2">
        <v>45738</v>
      </c>
      <c r="F214" s="2" cm="1">
        <f t="array" ref="F214">_xlfn.IFS(B214="Owner Surrender",E214,B214="Stray",E214+6,B214="Stray w/identification",E214+11,B214="Bite",E214+10,B214="Other",Blank)</f>
        <v>45744</v>
      </c>
      <c r="G214" s="2">
        <v>45748</v>
      </c>
      <c r="H214" s="6">
        <f t="shared" si="10"/>
        <v>10</v>
      </c>
      <c r="I214" s="6">
        <f t="shared" si="11"/>
        <v>4</v>
      </c>
      <c r="J214" s="2" t="s">
        <v>31</v>
      </c>
      <c r="K214" t="s">
        <v>362</v>
      </c>
    </row>
    <row r="215" spans="1:12" x14ac:dyDescent="0.25">
      <c r="A215" s="1">
        <v>39959</v>
      </c>
      <c r="B215" s="2" t="s">
        <v>36</v>
      </c>
      <c r="C215" t="s">
        <v>7</v>
      </c>
      <c r="D215" t="s">
        <v>209</v>
      </c>
      <c r="E215" s="2">
        <v>45738</v>
      </c>
      <c r="F215" s="2" cm="1">
        <f t="array" ref="F215">_xlfn.IFS(B215="Owner Surrender",E215,B215="Stray",E215+6,B215="Stray w/identification",E215+11,B215="Bite",E215+10,B215="Other",E215+30,B215="BAS",E215+56,B215="Seized",E215)</f>
        <v>45738</v>
      </c>
      <c r="G215" s="2">
        <v>45738</v>
      </c>
      <c r="H215" s="6">
        <f t="shared" si="10"/>
        <v>0</v>
      </c>
      <c r="I215" s="6">
        <f t="shared" si="11"/>
        <v>0</v>
      </c>
      <c r="J215" s="2" t="s">
        <v>11</v>
      </c>
    </row>
    <row r="216" spans="1:12" x14ac:dyDescent="0.25">
      <c r="A216" s="1">
        <v>39960</v>
      </c>
      <c r="B216" s="2" t="s">
        <v>36</v>
      </c>
      <c r="C216" t="s">
        <v>7</v>
      </c>
      <c r="D216" t="s">
        <v>209</v>
      </c>
      <c r="E216" s="2">
        <v>45738</v>
      </c>
      <c r="F216" s="2" cm="1">
        <f t="array" ref="F216">_xlfn.IFS(B216="Owner Surrender",E216,B216="Stray",E216+6,B216="Stray w/identification",E216+11,B216="Bite",E216+10,B216="Other",Blank)</f>
        <v>45738</v>
      </c>
      <c r="G216" s="2">
        <v>45757</v>
      </c>
      <c r="H216" s="6">
        <f t="shared" si="10"/>
        <v>19</v>
      </c>
      <c r="I216" s="6">
        <f t="shared" si="11"/>
        <v>19</v>
      </c>
      <c r="J216" s="2" t="s">
        <v>18</v>
      </c>
      <c r="K216" t="s">
        <v>361</v>
      </c>
    </row>
    <row r="217" spans="1:12" x14ac:dyDescent="0.25">
      <c r="A217" s="1">
        <v>39964</v>
      </c>
      <c r="B217" s="2" t="s">
        <v>38</v>
      </c>
      <c r="C217" t="s">
        <v>7</v>
      </c>
      <c r="D217" t="s">
        <v>208</v>
      </c>
      <c r="E217" s="2">
        <v>45740</v>
      </c>
      <c r="F217" s="2" cm="1">
        <f t="array" ref="F217">_xlfn.IFS(B217="Owner Surrender",E217,B217="Stray",E217+6,B217="Stray w/identification",E217+11,B217="Bite",E217+10,B217="Other",Blank)</f>
        <v>45746</v>
      </c>
      <c r="G217" s="2">
        <v>45751</v>
      </c>
      <c r="H217" s="6">
        <f t="shared" si="10"/>
        <v>11</v>
      </c>
      <c r="I217" s="6">
        <f t="shared" si="11"/>
        <v>5</v>
      </c>
      <c r="J217" s="2" t="s">
        <v>31</v>
      </c>
      <c r="K217" t="s">
        <v>360</v>
      </c>
    </row>
    <row r="218" spans="1:12" x14ac:dyDescent="0.25">
      <c r="A218" s="1">
        <v>39965</v>
      </c>
      <c r="B218" s="2" t="s">
        <v>38</v>
      </c>
      <c r="C218" t="s">
        <v>7</v>
      </c>
      <c r="D218" t="s">
        <v>208</v>
      </c>
      <c r="E218" s="2">
        <v>45740</v>
      </c>
      <c r="F218" s="2" cm="1">
        <f t="array" ref="F218">_xlfn.IFS(B218="Owner Surrender",E218,B218="Stray",E218+6,B218="Stray w/identification",E218+11,B218="Bite",E218+10,B218="Other",Blank)</f>
        <v>45746</v>
      </c>
      <c r="G218" s="2">
        <v>45757</v>
      </c>
      <c r="H218" s="6">
        <f t="shared" si="10"/>
        <v>17</v>
      </c>
      <c r="I218" s="6">
        <f t="shared" si="11"/>
        <v>11</v>
      </c>
      <c r="J218" s="2" t="s">
        <v>31</v>
      </c>
      <c r="L218" t="s">
        <v>33</v>
      </c>
    </row>
    <row r="219" spans="1:12" x14ac:dyDescent="0.25">
      <c r="A219" s="1">
        <v>39967</v>
      </c>
      <c r="B219" s="2" t="s">
        <v>36</v>
      </c>
      <c r="C219" t="s">
        <v>7</v>
      </c>
      <c r="D219" t="s">
        <v>208</v>
      </c>
      <c r="E219" s="2">
        <v>45740</v>
      </c>
      <c r="F219" s="2" cm="1">
        <f t="array" ref="F219">_xlfn.IFS(B219="Owner Surrender",E219,B219="Stray",E219+6,B219="Stray w/identification",E219+11,B219="Bite",E219+10,B219="Other",E219+30,B219="BAS",E219+56,B219="Seized",E219)</f>
        <v>45740</v>
      </c>
      <c r="G219" s="2">
        <v>45742</v>
      </c>
      <c r="H219" s="6">
        <f t="shared" si="10"/>
        <v>2</v>
      </c>
      <c r="I219" s="6">
        <f t="shared" si="11"/>
        <v>2</v>
      </c>
      <c r="J219" s="2" t="s">
        <v>18</v>
      </c>
      <c r="K219" t="s">
        <v>330</v>
      </c>
    </row>
    <row r="220" spans="1:12" x14ac:dyDescent="0.25">
      <c r="A220" s="1">
        <v>39977</v>
      </c>
      <c r="B220" s="2" t="s">
        <v>38</v>
      </c>
      <c r="C220" t="s">
        <v>7</v>
      </c>
      <c r="D220" t="s">
        <v>210</v>
      </c>
      <c r="E220" s="2">
        <v>45740</v>
      </c>
      <c r="F220" s="2" cm="1">
        <f t="array" ref="F220">_xlfn.IFS(B220="Owner Surrender",E220,B220="Stray",E220+6,B220="Stray w/identification",E220+11,B220="Bite",E220+10,B220="Other",Blank)</f>
        <v>45746</v>
      </c>
      <c r="G220" s="2">
        <v>45757</v>
      </c>
      <c r="H220" s="6">
        <f t="shared" si="10"/>
        <v>17</v>
      </c>
      <c r="I220" s="6">
        <f t="shared" si="11"/>
        <v>11</v>
      </c>
      <c r="J220" s="2" t="s">
        <v>18</v>
      </c>
    </row>
    <row r="221" spans="1:12" x14ac:dyDescent="0.25">
      <c r="A221" s="1">
        <v>39978</v>
      </c>
      <c r="B221" s="2" t="s">
        <v>38</v>
      </c>
      <c r="C221" t="s">
        <v>7</v>
      </c>
      <c r="D221" t="s">
        <v>210</v>
      </c>
      <c r="E221" s="2">
        <v>45740</v>
      </c>
      <c r="F221" s="2" cm="1">
        <f t="array" ref="F221">_xlfn.IFS(B221="Owner Surrender",E221,B221="Stray",E221+6,B221="Stray w/identification",E221+11,B221="Bite",E221+10,B221="Other",Blank)</f>
        <v>45746</v>
      </c>
      <c r="G221" s="2">
        <v>45757</v>
      </c>
      <c r="H221" s="6">
        <f t="shared" si="10"/>
        <v>17</v>
      </c>
      <c r="I221" s="6">
        <f t="shared" si="11"/>
        <v>11</v>
      </c>
      <c r="J221" s="2" t="s">
        <v>18</v>
      </c>
      <c r="K221" t="s">
        <v>287</v>
      </c>
    </row>
    <row r="222" spans="1:12" x14ac:dyDescent="0.25">
      <c r="A222" s="1">
        <v>39985</v>
      </c>
      <c r="B222" s="2" t="s">
        <v>38</v>
      </c>
      <c r="C222" t="s">
        <v>7</v>
      </c>
      <c r="D222" t="s">
        <v>208</v>
      </c>
      <c r="E222" s="2">
        <v>45741</v>
      </c>
      <c r="F222" s="2" cm="1">
        <f t="array" ref="F222">_xlfn.IFS(B222="Owner Surrender",E222,B222="Stray",E222+6,B222="Stray w/identification",E222+11,B222="Bite",E222+10,B222="Other",Blank)</f>
        <v>45747</v>
      </c>
      <c r="G222" s="2">
        <v>45757</v>
      </c>
      <c r="H222" s="6">
        <f t="shared" si="10"/>
        <v>16</v>
      </c>
      <c r="I222" s="6">
        <f t="shared" si="11"/>
        <v>10</v>
      </c>
      <c r="J222" s="2" t="s">
        <v>18</v>
      </c>
      <c r="K222" t="s">
        <v>125</v>
      </c>
    </row>
    <row r="223" spans="1:12" x14ac:dyDescent="0.25">
      <c r="A223" s="1">
        <v>39988</v>
      </c>
      <c r="B223" s="2" t="s">
        <v>36</v>
      </c>
      <c r="C223" t="s">
        <v>15</v>
      </c>
      <c r="D223" t="s">
        <v>208</v>
      </c>
      <c r="E223" s="2">
        <v>45743</v>
      </c>
      <c r="F223" s="2" cm="1">
        <f t="array" ref="F223">_xlfn.IFS(B223="Owner Surrender",E223,B223="Stray",E223+6,B223="Stray w/identification",E223+11,B223="Bite",E223+10,B223="Other",Blank)</f>
        <v>45743</v>
      </c>
      <c r="G223" s="2">
        <v>45751</v>
      </c>
      <c r="H223" s="6">
        <f t="shared" si="10"/>
        <v>8</v>
      </c>
      <c r="I223" s="6">
        <f t="shared" si="11"/>
        <v>8</v>
      </c>
      <c r="J223" s="2" t="s">
        <v>31</v>
      </c>
      <c r="K223" t="s">
        <v>359</v>
      </c>
    </row>
    <row r="224" spans="1:12" x14ac:dyDescent="0.25">
      <c r="A224" s="1">
        <v>39990</v>
      </c>
      <c r="B224" s="2" t="s">
        <v>61</v>
      </c>
      <c r="C224" t="s">
        <v>7</v>
      </c>
      <c r="D224" t="s">
        <v>209</v>
      </c>
      <c r="E224" s="2">
        <v>45741</v>
      </c>
      <c r="F224" s="2" cm="1">
        <f t="array" ref="F224">_xlfn.IFS(B224="Owner Surrender",E224,B224="Stray",E224+6,B224="Stray w/identification",E224+11,B224="Bite",E224+10,B224="Other",E224+30,B224="BAS",E224+56,B224="Seized",E224)</f>
        <v>45771</v>
      </c>
      <c r="G224" s="2">
        <v>45743</v>
      </c>
      <c r="H224" s="6">
        <f t="shared" si="10"/>
        <v>2</v>
      </c>
      <c r="J224" s="2" t="s">
        <v>31</v>
      </c>
      <c r="L224" t="s">
        <v>329</v>
      </c>
    </row>
    <row r="225" spans="1:12" x14ac:dyDescent="0.25">
      <c r="A225" s="1">
        <v>39991</v>
      </c>
      <c r="B225" s="2" t="s">
        <v>61</v>
      </c>
      <c r="C225" t="s">
        <v>7</v>
      </c>
      <c r="D225" t="s">
        <v>209</v>
      </c>
      <c r="E225" s="2">
        <v>45741</v>
      </c>
      <c r="F225" s="2" cm="1">
        <f t="array" ref="F225">_xlfn.IFS(B225="Owner Surrender",E225,B225="Stray",E225+6,B225="Stray w/identification",E225+11,B225="Bite",E225+10,B225="Other",E225+30,B225="BAS",E225+56,B225="Seized",E225)</f>
        <v>45771</v>
      </c>
      <c r="G225" s="2">
        <v>45743</v>
      </c>
      <c r="H225" s="6">
        <f t="shared" si="10"/>
        <v>2</v>
      </c>
      <c r="J225" s="2" t="s">
        <v>31</v>
      </c>
      <c r="L225" t="s">
        <v>290</v>
      </c>
    </row>
    <row r="226" spans="1:12" x14ac:dyDescent="0.25">
      <c r="A226" s="1">
        <v>39992</v>
      </c>
      <c r="B226" s="2" t="s">
        <v>61</v>
      </c>
      <c r="C226" t="s">
        <v>7</v>
      </c>
      <c r="D226" t="s">
        <v>209</v>
      </c>
      <c r="E226" s="2">
        <v>45741</v>
      </c>
      <c r="F226" s="2" cm="1">
        <f t="array" ref="F226">_xlfn.IFS(B226="Owner Surrender",E226,B226="Stray",E226+6,B226="Stray w/identification",E226+11,B226="Bite",E226+10,B226="Other",E226+30,B226="BAS",E226+56,B226="Seized",E226)</f>
        <v>45771</v>
      </c>
      <c r="G226" s="2">
        <v>45743</v>
      </c>
      <c r="H226" s="6">
        <f t="shared" si="10"/>
        <v>2</v>
      </c>
      <c r="J226" s="2" t="s">
        <v>31</v>
      </c>
      <c r="L226" t="s">
        <v>290</v>
      </c>
    </row>
    <row r="227" spans="1:12" x14ac:dyDescent="0.25">
      <c r="A227" s="1">
        <v>39993</v>
      </c>
      <c r="B227" s="2" t="s">
        <v>61</v>
      </c>
      <c r="C227" t="s">
        <v>7</v>
      </c>
      <c r="D227" t="s">
        <v>209</v>
      </c>
      <c r="E227" s="2">
        <v>45741</v>
      </c>
      <c r="F227" s="2" cm="1">
        <f t="array" ref="F227">_xlfn.IFS(B227="Owner Surrender",E227,B227="Stray",E227+6,B227="Stray w/identification",E227+11,B227="Bite",E227+10,B227="Other",E227+30,B227="BAS",E227+56,B227="Seized",E227)</f>
        <v>45771</v>
      </c>
      <c r="G227" s="2">
        <v>45743</v>
      </c>
      <c r="H227" s="6">
        <f t="shared" si="10"/>
        <v>2</v>
      </c>
      <c r="J227" s="2" t="s">
        <v>31</v>
      </c>
      <c r="L227" t="s">
        <v>290</v>
      </c>
    </row>
    <row r="228" spans="1:12" x14ac:dyDescent="0.25">
      <c r="A228" s="1">
        <v>39994</v>
      </c>
      <c r="B228" s="2" t="s">
        <v>61</v>
      </c>
      <c r="C228" t="s">
        <v>7</v>
      </c>
      <c r="D228" t="s">
        <v>209</v>
      </c>
      <c r="E228" s="2">
        <v>45741</v>
      </c>
      <c r="F228" s="2" cm="1">
        <f t="array" ref="F228">_xlfn.IFS(B228="Owner Surrender",E228,B228="Stray",E228+6,B228="Stray w/identification",E228+11,B228="Bite",E228+10,B228="Other",E228+30,B228="BAS",E228+56,B228="Seized",E228)</f>
        <v>45771</v>
      </c>
      <c r="G228" s="2">
        <v>45743</v>
      </c>
      <c r="H228" s="6">
        <f t="shared" si="10"/>
        <v>2</v>
      </c>
      <c r="J228" s="2" t="s">
        <v>31</v>
      </c>
      <c r="L228" t="s">
        <v>290</v>
      </c>
    </row>
    <row r="229" spans="1:12" x14ac:dyDescent="0.25">
      <c r="A229" s="1">
        <v>39995</v>
      </c>
      <c r="B229" s="2" t="s">
        <v>61</v>
      </c>
      <c r="C229" t="s">
        <v>7</v>
      </c>
      <c r="D229" t="s">
        <v>209</v>
      </c>
      <c r="E229" s="2">
        <v>45741</v>
      </c>
      <c r="F229" s="2" cm="1">
        <f t="array" ref="F229">_xlfn.IFS(B229="Owner Surrender",E229,B229="Stray",E229+6,B229="Stray w/identification",E229+11,B229="Bite",E229+10,B229="Other",E229+30,B229="BAS",E229+56,B229="Seized",E229)</f>
        <v>45771</v>
      </c>
      <c r="G229" s="2">
        <v>45743</v>
      </c>
      <c r="H229" s="6">
        <f t="shared" si="10"/>
        <v>2</v>
      </c>
      <c r="J229" s="2" t="s">
        <v>31</v>
      </c>
      <c r="L229" t="s">
        <v>290</v>
      </c>
    </row>
    <row r="230" spans="1:12" x14ac:dyDescent="0.25">
      <c r="A230" s="1">
        <v>39996</v>
      </c>
      <c r="B230" s="2" t="s">
        <v>38</v>
      </c>
      <c r="C230" t="s">
        <v>7</v>
      </c>
      <c r="D230" t="s">
        <v>208</v>
      </c>
      <c r="E230" s="2">
        <v>45743</v>
      </c>
      <c r="F230" s="2" cm="1">
        <f t="array" ref="F230">_xlfn.IFS(B230="Owner Surrender",E230,B230="Stray",E230+6,B230="Stray w/identification",E230+11,B230="Bite",E230+10,B230="Other",Blank)</f>
        <v>45749</v>
      </c>
      <c r="G230" s="2">
        <v>45749</v>
      </c>
      <c r="H230" s="6">
        <f t="shared" si="10"/>
        <v>6</v>
      </c>
      <c r="I230" s="6">
        <f t="shared" ref="I230:I293" si="12">G230-F230</f>
        <v>0</v>
      </c>
      <c r="J230" s="2" t="s">
        <v>31</v>
      </c>
      <c r="L230" t="s">
        <v>33</v>
      </c>
    </row>
    <row r="231" spans="1:12" x14ac:dyDescent="0.25">
      <c r="A231" s="1">
        <v>39997</v>
      </c>
      <c r="B231" s="2" t="s">
        <v>38</v>
      </c>
      <c r="C231" t="s">
        <v>7</v>
      </c>
      <c r="D231" t="s">
        <v>208</v>
      </c>
      <c r="E231" s="2">
        <v>45743</v>
      </c>
      <c r="F231" s="2" cm="1">
        <f t="array" ref="F231">_xlfn.IFS(B231="Owner Surrender",E231,B231="Stray",E231+6,B231="Stray w/identification",E231+11,B231="Bite",E231+10,B231="Other",Blank)</f>
        <v>45749</v>
      </c>
      <c r="G231" s="2">
        <v>45749</v>
      </c>
      <c r="H231" s="6">
        <f t="shared" si="10"/>
        <v>6</v>
      </c>
      <c r="I231" s="6">
        <f t="shared" si="12"/>
        <v>0</v>
      </c>
      <c r="J231" s="2" t="s">
        <v>31</v>
      </c>
      <c r="L231" t="s">
        <v>33</v>
      </c>
    </row>
    <row r="232" spans="1:12" x14ac:dyDescent="0.25">
      <c r="A232" s="1">
        <v>40001</v>
      </c>
      <c r="B232" s="2" t="s">
        <v>38</v>
      </c>
      <c r="C232" t="s">
        <v>7</v>
      </c>
      <c r="D232" t="s">
        <v>208</v>
      </c>
      <c r="E232" s="2">
        <v>45743</v>
      </c>
      <c r="F232" s="2" cm="1">
        <f t="array" ref="F232">_xlfn.IFS(B232="Owner Surrender",E232,B232="Stray",E232+6,B232="Stray w/identification",E232+11,B232="Bite",E232+10,B232="Other",Blank)</f>
        <v>45749</v>
      </c>
      <c r="G232" s="2">
        <v>45749</v>
      </c>
      <c r="H232" s="6">
        <f t="shared" ref="H232:H295" si="13">+G232-E232</f>
        <v>6</v>
      </c>
      <c r="I232" s="6">
        <f t="shared" si="12"/>
        <v>0</v>
      </c>
      <c r="J232" s="2" t="s">
        <v>31</v>
      </c>
      <c r="L232" t="s">
        <v>33</v>
      </c>
    </row>
    <row r="233" spans="1:12" x14ac:dyDescent="0.25">
      <c r="A233" s="1">
        <v>40002</v>
      </c>
      <c r="B233" s="2" t="s">
        <v>38</v>
      </c>
      <c r="C233" t="s">
        <v>7</v>
      </c>
      <c r="D233" t="s">
        <v>208</v>
      </c>
      <c r="E233" s="2">
        <v>45743</v>
      </c>
      <c r="F233" s="2" cm="1">
        <f t="array" ref="F233">_xlfn.IFS(B233="Owner Surrender",E233,B233="Stray",E233+6,B233="Stray w/identification",E233+11,B233="Bite",E233+10,B233="Other",Blank)</f>
        <v>45749</v>
      </c>
      <c r="G233" s="2">
        <v>45749</v>
      </c>
      <c r="H233" s="6">
        <f t="shared" si="13"/>
        <v>6</v>
      </c>
      <c r="I233" s="6">
        <f t="shared" si="12"/>
        <v>0</v>
      </c>
      <c r="J233" s="2" t="s">
        <v>31</v>
      </c>
      <c r="L233" t="s">
        <v>33</v>
      </c>
    </row>
    <row r="234" spans="1:12" x14ac:dyDescent="0.25">
      <c r="A234" s="1">
        <v>40004</v>
      </c>
      <c r="B234" s="2" t="s">
        <v>38</v>
      </c>
      <c r="C234" t="s">
        <v>7</v>
      </c>
      <c r="D234" t="s">
        <v>208</v>
      </c>
      <c r="E234" s="2">
        <v>45743</v>
      </c>
      <c r="F234" s="2" cm="1">
        <f t="array" ref="F234">_xlfn.IFS(B234="Owner Surrender",E234,B234="Stray",E234+6,B234="Stray w/identification",E234+11,B234="Bite",E234+10,B234="Other",Blank)</f>
        <v>45749</v>
      </c>
      <c r="G234" s="2">
        <v>45751</v>
      </c>
      <c r="H234" s="6">
        <f t="shared" si="13"/>
        <v>8</v>
      </c>
      <c r="I234" s="6">
        <f t="shared" si="12"/>
        <v>2</v>
      </c>
      <c r="J234" s="2" t="s">
        <v>31</v>
      </c>
      <c r="L234" t="s">
        <v>34</v>
      </c>
    </row>
    <row r="235" spans="1:12" x14ac:dyDescent="0.25">
      <c r="A235" s="1">
        <v>40006</v>
      </c>
      <c r="B235" s="2" t="s">
        <v>36</v>
      </c>
      <c r="C235" t="s">
        <v>7</v>
      </c>
      <c r="D235" t="s">
        <v>208</v>
      </c>
      <c r="E235" s="2">
        <v>45744</v>
      </c>
      <c r="F235" s="2" cm="1">
        <f t="array" ref="F235">_xlfn.IFS(B235="Owner Surrender",E235,B235="Stray",E235+6,B235="Stray w/identification",E235+11,B235="Bite",E235+10,B235="Other",Blank)</f>
        <v>45744</v>
      </c>
      <c r="G235" s="2">
        <v>45757</v>
      </c>
      <c r="H235" s="6">
        <f t="shared" si="13"/>
        <v>13</v>
      </c>
      <c r="I235" s="6">
        <f t="shared" si="12"/>
        <v>13</v>
      </c>
      <c r="J235" s="2" t="s">
        <v>18</v>
      </c>
      <c r="K235" t="s">
        <v>358</v>
      </c>
      <c r="L235" t="s">
        <v>34</v>
      </c>
    </row>
    <row r="236" spans="1:12" x14ac:dyDescent="0.25">
      <c r="A236" s="1">
        <v>40008</v>
      </c>
      <c r="B236" s="2" t="s">
        <v>38</v>
      </c>
      <c r="C236" t="s">
        <v>10</v>
      </c>
      <c r="D236" t="s">
        <v>208</v>
      </c>
      <c r="E236" s="2">
        <v>45744</v>
      </c>
      <c r="F236" s="2" cm="1">
        <f t="array" ref="F236">_xlfn.IFS(B236="Owner Surrender",E236,B236="Stray",E236+6,B236="Stray w/identification",E236+11,B236="Bite",E236+10,B236="Other",E236+30,B236="BAS",E236+56,B236="Seized",E236)</f>
        <v>45750</v>
      </c>
      <c r="G236" s="2">
        <v>45744</v>
      </c>
      <c r="H236" s="6">
        <f t="shared" si="13"/>
        <v>0</v>
      </c>
      <c r="I236" s="6">
        <f t="shared" si="12"/>
        <v>-6</v>
      </c>
      <c r="J236" s="2" t="s">
        <v>31</v>
      </c>
      <c r="L236" t="s">
        <v>246</v>
      </c>
    </row>
    <row r="237" spans="1:12" x14ac:dyDescent="0.25">
      <c r="A237" s="1">
        <v>40009</v>
      </c>
      <c r="B237" s="2" t="s">
        <v>36</v>
      </c>
      <c r="C237" t="s">
        <v>10</v>
      </c>
      <c r="D237" t="s">
        <v>210</v>
      </c>
      <c r="E237" s="2">
        <v>45744</v>
      </c>
      <c r="F237" s="2" cm="1">
        <f t="array" ref="F237">_xlfn.IFS(B237="Owner Surrender",E237,B237="Stray",E237+6,B237="Stray w/identification",E237+11,B237="Bite",E237+10,B237="Other",Blank)</f>
        <v>45744</v>
      </c>
      <c r="G237" s="2">
        <v>45757</v>
      </c>
      <c r="H237" s="6">
        <f t="shared" si="13"/>
        <v>13</v>
      </c>
      <c r="I237" s="6">
        <f t="shared" si="12"/>
        <v>13</v>
      </c>
      <c r="J237" s="2" t="s">
        <v>18</v>
      </c>
      <c r="K237" t="s">
        <v>357</v>
      </c>
    </row>
    <row r="238" spans="1:12" x14ac:dyDescent="0.25">
      <c r="A238" s="1">
        <v>40010</v>
      </c>
      <c r="B238" s="2" t="s">
        <v>36</v>
      </c>
      <c r="C238" t="s">
        <v>10</v>
      </c>
      <c r="D238" t="s">
        <v>208</v>
      </c>
      <c r="E238" s="2">
        <v>45744</v>
      </c>
      <c r="F238" s="2" cm="1">
        <f t="array" ref="F238">_xlfn.IFS(B238="Owner Surrender",E238,B238="Stray",E238+6,B238="Stray w/identification",E238+11,B238="Bite",E238+10,B238="Other",Blank)</f>
        <v>45744</v>
      </c>
      <c r="G238" s="2">
        <v>45751</v>
      </c>
      <c r="H238" s="6">
        <f t="shared" si="13"/>
        <v>7</v>
      </c>
      <c r="I238" s="6">
        <f t="shared" si="12"/>
        <v>7</v>
      </c>
      <c r="J238" s="2" t="s">
        <v>31</v>
      </c>
      <c r="L238" t="s">
        <v>323</v>
      </c>
    </row>
    <row r="239" spans="1:12" x14ac:dyDescent="0.25">
      <c r="A239" s="1">
        <v>40013</v>
      </c>
      <c r="B239" s="2" t="s">
        <v>36</v>
      </c>
      <c r="C239" t="s">
        <v>7</v>
      </c>
      <c r="D239" t="s">
        <v>211</v>
      </c>
      <c r="E239" s="2">
        <v>45744</v>
      </c>
      <c r="F239" s="2" cm="1">
        <f t="array" ref="F239">_xlfn.IFS(B239="Owner Surrender",E239,B239="Stray",E239+6,B239="Stray w/identification",E239+11,B239="Bite",E239+10,B239="Other",E239+30,B239="BAS",E239+56,B239="Seized",E239)</f>
        <v>45744</v>
      </c>
      <c r="G239" s="2">
        <v>45744</v>
      </c>
      <c r="H239" s="6">
        <f t="shared" si="13"/>
        <v>0</v>
      </c>
      <c r="I239" s="6">
        <f t="shared" si="12"/>
        <v>0</v>
      </c>
      <c r="J239" s="2" t="s">
        <v>31</v>
      </c>
      <c r="L239" t="s">
        <v>46</v>
      </c>
    </row>
    <row r="240" spans="1:12" x14ac:dyDescent="0.25">
      <c r="A240" s="1">
        <v>40022</v>
      </c>
      <c r="B240" s="2" t="s">
        <v>38</v>
      </c>
      <c r="C240" t="s">
        <v>7</v>
      </c>
      <c r="D240" t="s">
        <v>208</v>
      </c>
      <c r="E240" s="2">
        <v>45745</v>
      </c>
      <c r="F240" s="2" cm="1">
        <f t="array" ref="F240">_xlfn.IFS(B240="Owner Surrender",E240,B240="Stray",E240+6,B240="Stray w/identification",E240+11,B240="Bite",E240+10,B240="Other",Blank)</f>
        <v>45751</v>
      </c>
      <c r="G240" s="2">
        <v>45757</v>
      </c>
      <c r="H240" s="6">
        <f t="shared" si="13"/>
        <v>12</v>
      </c>
      <c r="I240" s="6">
        <f t="shared" si="12"/>
        <v>6</v>
      </c>
      <c r="J240" s="2" t="s">
        <v>18</v>
      </c>
      <c r="K240" t="s">
        <v>356</v>
      </c>
    </row>
    <row r="241" spans="1:12" x14ac:dyDescent="0.25">
      <c r="A241" s="1">
        <v>40023</v>
      </c>
      <c r="B241" s="2" t="s">
        <v>36</v>
      </c>
      <c r="C241" t="s">
        <v>10</v>
      </c>
      <c r="D241" t="s">
        <v>209</v>
      </c>
      <c r="E241" s="2">
        <v>45745</v>
      </c>
      <c r="F241" s="2" cm="1">
        <f t="array" ref="F241">_xlfn.IFS(B241="Owner Surrender",E241,B241="Stray",E241+6,B241="Stray w/identification",E241+11,B241="Bite",E241+10,B241="Other",Blank)</f>
        <v>45745</v>
      </c>
      <c r="G241" s="2">
        <v>45771</v>
      </c>
      <c r="H241" s="6">
        <f t="shared" si="13"/>
        <v>26</v>
      </c>
      <c r="I241" s="6">
        <f t="shared" si="12"/>
        <v>26</v>
      </c>
      <c r="J241" s="2" t="s">
        <v>11</v>
      </c>
      <c r="K241" t="s">
        <v>355</v>
      </c>
    </row>
    <row r="242" spans="1:12" x14ac:dyDescent="0.25">
      <c r="A242" s="1">
        <v>40023</v>
      </c>
      <c r="B242" s="2" t="s">
        <v>36</v>
      </c>
      <c r="C242" t="s">
        <v>10</v>
      </c>
      <c r="D242" t="s">
        <v>209</v>
      </c>
      <c r="E242" s="2">
        <v>45745</v>
      </c>
      <c r="F242" s="2" cm="1">
        <f t="array" ref="F242">_xlfn.IFS(B242="Owner Surrender",E242,B242="Stray",E242+6,B242="Stray w/identification",E242+11,B242="Bite",E242+10,B242="Other",E242+30,B242="BAS",E242+56,B242="Seized",E242)</f>
        <v>45745</v>
      </c>
      <c r="H242" s="6">
        <f t="shared" si="13"/>
        <v>-45745</v>
      </c>
      <c r="I242" s="6">
        <f t="shared" si="12"/>
        <v>-45745</v>
      </c>
      <c r="J242" s="2" t="s">
        <v>21</v>
      </c>
      <c r="K242" t="s">
        <v>328</v>
      </c>
    </row>
    <row r="243" spans="1:12" x14ac:dyDescent="0.25">
      <c r="A243" s="1">
        <v>40026</v>
      </c>
      <c r="B243" s="2" t="s">
        <v>36</v>
      </c>
      <c r="C243" t="s">
        <v>7</v>
      </c>
      <c r="D243" t="s">
        <v>208</v>
      </c>
      <c r="E243" s="2">
        <v>45747</v>
      </c>
      <c r="F243" s="2" cm="1">
        <f t="array" ref="F243">_xlfn.IFS(B243="Owner Surrender",E243,B243="Stray",E243+6,B243="Stray w/identification",E243+11,B243="Bite",E243+10,B243="Other",Blank)</f>
        <v>45747</v>
      </c>
      <c r="G243" s="2">
        <v>45751</v>
      </c>
      <c r="H243" s="6">
        <f t="shared" si="13"/>
        <v>4</v>
      </c>
      <c r="I243" s="6">
        <f t="shared" si="12"/>
        <v>4</v>
      </c>
      <c r="J243" s="2" t="s">
        <v>31</v>
      </c>
    </row>
    <row r="244" spans="1:12" x14ac:dyDescent="0.25">
      <c r="A244" s="1">
        <v>40027</v>
      </c>
      <c r="B244" s="2" t="s">
        <v>36</v>
      </c>
      <c r="C244" t="s">
        <v>7</v>
      </c>
      <c r="D244" t="s">
        <v>208</v>
      </c>
      <c r="E244" s="2">
        <v>45747</v>
      </c>
      <c r="F244" s="2" cm="1">
        <f t="array" ref="F244">_xlfn.IFS(B244="Owner Surrender",E244,B244="Stray",E244+6,B244="Stray w/identification",E244+11,B244="Bite",E244+10,B244="Other",Blank)</f>
        <v>45747</v>
      </c>
      <c r="G244" s="2">
        <v>45751</v>
      </c>
      <c r="H244" s="6">
        <f t="shared" si="13"/>
        <v>4</v>
      </c>
      <c r="I244" s="6">
        <f t="shared" si="12"/>
        <v>4</v>
      </c>
      <c r="J244" s="2" t="s">
        <v>31</v>
      </c>
    </row>
    <row r="245" spans="1:12" x14ac:dyDescent="0.25">
      <c r="A245" s="1">
        <v>40032</v>
      </c>
      <c r="B245" s="2" t="s">
        <v>36</v>
      </c>
      <c r="C245" t="s">
        <v>10</v>
      </c>
      <c r="D245" t="s">
        <v>208</v>
      </c>
      <c r="E245" s="2">
        <v>45747</v>
      </c>
      <c r="F245" s="2" cm="1">
        <f t="array" ref="F245">_xlfn.IFS(B245="Owner Surrender",E245,B245="Stray",E245+6,B245="Stray w/identification",E245+11,B245="Bite",E245+10,B245="Other",Blank)</f>
        <v>45747</v>
      </c>
      <c r="G245" s="2">
        <v>45757</v>
      </c>
      <c r="H245" s="6">
        <f t="shared" si="13"/>
        <v>10</v>
      </c>
      <c r="I245" s="6">
        <f t="shared" si="12"/>
        <v>10</v>
      </c>
      <c r="J245" s="2" t="s">
        <v>18</v>
      </c>
      <c r="K245" t="s">
        <v>354</v>
      </c>
    </row>
    <row r="246" spans="1:12" x14ac:dyDescent="0.25">
      <c r="A246" s="1">
        <v>40034</v>
      </c>
      <c r="B246" s="2" t="s">
        <v>38</v>
      </c>
      <c r="C246" t="s">
        <v>7</v>
      </c>
      <c r="D246" t="s">
        <v>208</v>
      </c>
      <c r="E246" s="2">
        <v>45746</v>
      </c>
      <c r="F246" s="2" cm="1">
        <f t="array" ref="F246">_xlfn.IFS(B246="Owner Surrender",E246,B246="Stray",E246+6,B246="Stray w/identification",E246+11,B246="Bite",E246+10,B246="Other",Blank)</f>
        <v>45752</v>
      </c>
      <c r="G246" s="2">
        <v>45757</v>
      </c>
      <c r="H246" s="6">
        <f t="shared" si="13"/>
        <v>11</v>
      </c>
      <c r="I246" s="6">
        <f t="shared" si="12"/>
        <v>5</v>
      </c>
      <c r="J246" s="2" t="s">
        <v>18</v>
      </c>
      <c r="K246" t="s">
        <v>353</v>
      </c>
    </row>
    <row r="247" spans="1:12" x14ac:dyDescent="0.25">
      <c r="A247" s="1">
        <v>40035</v>
      </c>
      <c r="B247" s="2" t="s">
        <v>38</v>
      </c>
      <c r="C247" t="s">
        <v>7</v>
      </c>
      <c r="D247" t="s">
        <v>208</v>
      </c>
      <c r="E247" s="2">
        <v>45746</v>
      </c>
      <c r="F247" s="2" cm="1">
        <f t="array" ref="F247">_xlfn.IFS(B247="Owner Surrender",E247,B247="Stray",E247+6,B247="Stray w/identification",E247+11,B247="Bite",E247+10,B247="Other",Blank)</f>
        <v>45752</v>
      </c>
      <c r="G247" s="2">
        <v>45757</v>
      </c>
      <c r="H247" s="6">
        <f t="shared" si="13"/>
        <v>11</v>
      </c>
      <c r="I247" s="6">
        <f t="shared" si="12"/>
        <v>5</v>
      </c>
      <c r="J247" s="2" t="s">
        <v>18</v>
      </c>
      <c r="K247" t="s">
        <v>352</v>
      </c>
    </row>
    <row r="248" spans="1:12" x14ac:dyDescent="0.25">
      <c r="A248" s="1">
        <v>40037</v>
      </c>
      <c r="B248" s="2" t="s">
        <v>38</v>
      </c>
      <c r="C248" t="s">
        <v>7</v>
      </c>
      <c r="D248" t="s">
        <v>208</v>
      </c>
      <c r="E248" s="2">
        <v>45746</v>
      </c>
      <c r="F248" s="2" cm="1">
        <f t="array" ref="F248">_xlfn.IFS(B248="Owner Surrender",E248,B248="Stray",E248+6,B248="Stray w/identification",E248+11,B248="Bite",E248+10,B248="Other",Blank)</f>
        <v>45752</v>
      </c>
      <c r="G248" s="2">
        <v>45757</v>
      </c>
      <c r="H248" s="6">
        <f t="shared" si="13"/>
        <v>11</v>
      </c>
      <c r="I248" s="6">
        <f t="shared" si="12"/>
        <v>5</v>
      </c>
      <c r="J248" s="2" t="s">
        <v>18</v>
      </c>
    </row>
    <row r="249" spans="1:12" x14ac:dyDescent="0.25">
      <c r="A249" s="1">
        <v>40038</v>
      </c>
      <c r="B249" s="2" t="s">
        <v>36</v>
      </c>
      <c r="C249" t="s">
        <v>7</v>
      </c>
      <c r="D249" t="s">
        <v>208</v>
      </c>
      <c r="E249" s="2">
        <v>45746</v>
      </c>
      <c r="F249" s="2" cm="1">
        <f t="array" ref="F249">_xlfn.IFS(B249="Owner Surrender",E249,B249="Stray",E249+6,B249="Stray w/identification",E249+11,B249="Bite",E249+10,B249="Other",Blank)</f>
        <v>45746</v>
      </c>
      <c r="G249" s="2">
        <v>45757</v>
      </c>
      <c r="H249" s="6">
        <f t="shared" si="13"/>
        <v>11</v>
      </c>
      <c r="I249" s="6">
        <f t="shared" si="12"/>
        <v>11</v>
      </c>
      <c r="J249" s="2" t="s">
        <v>18</v>
      </c>
    </row>
    <row r="250" spans="1:12" x14ac:dyDescent="0.25">
      <c r="A250" s="1">
        <v>40041</v>
      </c>
      <c r="B250" s="2" t="s">
        <v>38</v>
      </c>
      <c r="C250" t="s">
        <v>7</v>
      </c>
      <c r="D250" t="s">
        <v>209</v>
      </c>
      <c r="E250" s="2">
        <v>45747</v>
      </c>
      <c r="F250" s="2" cm="1">
        <f t="array" ref="F250">_xlfn.IFS(B250="Owner Surrender",E250,B250="Stray",E250+6,B250="Stray w/identification",E250+11,B250="Bite",E250+10,B250="Other",Blank)</f>
        <v>45753</v>
      </c>
      <c r="G250" s="2">
        <v>45757</v>
      </c>
      <c r="H250" s="6">
        <f t="shared" si="13"/>
        <v>10</v>
      </c>
      <c r="I250" s="6">
        <f t="shared" si="12"/>
        <v>4</v>
      </c>
      <c r="J250" s="2" t="s">
        <v>31</v>
      </c>
      <c r="L250" t="s">
        <v>33</v>
      </c>
    </row>
    <row r="251" spans="1:12" x14ac:dyDescent="0.25">
      <c r="A251" s="1">
        <v>40042</v>
      </c>
      <c r="B251" s="2" t="s">
        <v>38</v>
      </c>
      <c r="C251" t="s">
        <v>7</v>
      </c>
      <c r="D251" t="s">
        <v>209</v>
      </c>
      <c r="E251" s="2">
        <v>45747</v>
      </c>
      <c r="F251" s="2" cm="1">
        <f t="array" ref="F251">_xlfn.IFS(B251="Owner Surrender",E251,B251="Stray",E251+6,B251="Stray w/identification",E251+11,B251="Bite",E251+10,B251="Other",Blank)</f>
        <v>45753</v>
      </c>
      <c r="G251" s="2">
        <v>45757</v>
      </c>
      <c r="H251" s="6">
        <f t="shared" si="13"/>
        <v>10</v>
      </c>
      <c r="I251" s="6">
        <f t="shared" si="12"/>
        <v>4</v>
      </c>
      <c r="J251" s="2" t="s">
        <v>31</v>
      </c>
      <c r="L251" t="s">
        <v>24</v>
      </c>
    </row>
    <row r="252" spans="1:12" x14ac:dyDescent="0.25">
      <c r="A252" s="1">
        <v>40043</v>
      </c>
      <c r="B252" s="2" t="s">
        <v>38</v>
      </c>
      <c r="C252" t="s">
        <v>7</v>
      </c>
      <c r="D252" t="s">
        <v>209</v>
      </c>
      <c r="E252" s="2">
        <v>45747</v>
      </c>
      <c r="F252" s="2" cm="1">
        <f t="array" ref="F252">_xlfn.IFS(B252="Owner Surrender",E252,B252="Stray",E252+6,B252="Stray w/identification",E252+11,B252="Bite",E252+10,B252="Other",Blank)</f>
        <v>45753</v>
      </c>
      <c r="G252" s="2">
        <v>45755</v>
      </c>
      <c r="H252" s="6">
        <f t="shared" si="13"/>
        <v>8</v>
      </c>
      <c r="I252" s="6">
        <f t="shared" si="12"/>
        <v>2</v>
      </c>
      <c r="J252" s="2" t="s">
        <v>28</v>
      </c>
      <c r="L252" t="s">
        <v>112</v>
      </c>
    </row>
    <row r="253" spans="1:12" x14ac:dyDescent="0.25">
      <c r="A253" s="1">
        <v>40044</v>
      </c>
      <c r="B253" s="2" t="s">
        <v>38</v>
      </c>
      <c r="C253" t="s">
        <v>7</v>
      </c>
      <c r="D253" t="s">
        <v>209</v>
      </c>
      <c r="E253" s="2">
        <v>45747</v>
      </c>
      <c r="F253" s="2" cm="1">
        <f t="array" ref="F253">_xlfn.IFS(B253="Owner Surrender",E253,B253="Stray",E253+6,B253="Stray w/identification",E253+11,B253="Bite",E253+10,B253="Other",Blank)</f>
        <v>45753</v>
      </c>
      <c r="G253" s="2">
        <v>45757</v>
      </c>
      <c r="H253" s="6">
        <f t="shared" si="13"/>
        <v>10</v>
      </c>
      <c r="I253" s="6">
        <f t="shared" si="12"/>
        <v>4</v>
      </c>
      <c r="J253" s="2" t="s">
        <v>31</v>
      </c>
      <c r="L253" t="s">
        <v>351</v>
      </c>
    </row>
    <row r="254" spans="1:12" x14ac:dyDescent="0.25">
      <c r="A254" s="1">
        <v>40044</v>
      </c>
      <c r="B254" s="2" t="s">
        <v>38</v>
      </c>
      <c r="C254" t="s">
        <v>7</v>
      </c>
      <c r="D254" t="s">
        <v>209</v>
      </c>
      <c r="E254" s="2">
        <v>45747</v>
      </c>
      <c r="F254" s="2" cm="1">
        <f t="array" ref="F254">_xlfn.IFS(B254="Owner Surrender",E254,B254="Stray",E254+6,B254="Stray w/identification",E254+11,B254="Bite",E254+10,B254="Other",Blank)</f>
        <v>45753</v>
      </c>
      <c r="G254" s="2">
        <v>45757</v>
      </c>
      <c r="H254" s="6">
        <f t="shared" si="13"/>
        <v>10</v>
      </c>
      <c r="I254" s="6">
        <f t="shared" si="12"/>
        <v>4</v>
      </c>
      <c r="J254" s="2" t="s">
        <v>31</v>
      </c>
      <c r="L254" t="s">
        <v>351</v>
      </c>
    </row>
    <row r="255" spans="1:12" x14ac:dyDescent="0.25">
      <c r="A255" s="1">
        <v>40047</v>
      </c>
      <c r="B255" s="2" t="s">
        <v>38</v>
      </c>
      <c r="C255" t="s">
        <v>7</v>
      </c>
      <c r="D255" t="s">
        <v>209</v>
      </c>
      <c r="E255" s="2">
        <v>45746</v>
      </c>
      <c r="F255" s="2" cm="1">
        <f t="array" ref="F255">_xlfn.IFS(B255="Owner Surrender",E255,B255="Stray",E255+6,B255="Stray w/identification",E255+11,B255="Bite",E255+10,B255="Other",Blank)</f>
        <v>45752</v>
      </c>
      <c r="G255" s="2">
        <v>45757</v>
      </c>
      <c r="H255" s="6">
        <f t="shared" si="13"/>
        <v>11</v>
      </c>
      <c r="I255" s="6">
        <f t="shared" si="12"/>
        <v>5</v>
      </c>
      <c r="J255" s="2" t="s">
        <v>31</v>
      </c>
      <c r="L255" t="s">
        <v>44</v>
      </c>
    </row>
    <row r="256" spans="1:12" x14ac:dyDescent="0.25">
      <c r="A256" s="1">
        <v>40048</v>
      </c>
      <c r="B256" s="2" t="s">
        <v>38</v>
      </c>
      <c r="C256" t="s">
        <v>7</v>
      </c>
      <c r="D256" t="s">
        <v>209</v>
      </c>
      <c r="E256" s="2">
        <v>45746</v>
      </c>
      <c r="F256" s="2" cm="1">
        <f t="array" ref="F256">_xlfn.IFS(B256="Owner Surrender",E256,B256="Stray",E256+6,B256="Stray w/identification",E256+11,B256="Bite",E256+10,B256="Other",Blank)</f>
        <v>45752</v>
      </c>
      <c r="G256" s="2">
        <v>45756</v>
      </c>
      <c r="H256" s="6">
        <f t="shared" si="13"/>
        <v>10</v>
      </c>
      <c r="I256" s="6">
        <f t="shared" si="12"/>
        <v>4</v>
      </c>
      <c r="J256" s="2" t="s">
        <v>31</v>
      </c>
      <c r="L256" t="s">
        <v>44</v>
      </c>
    </row>
    <row r="257" spans="1:12" x14ac:dyDescent="0.25">
      <c r="A257" s="1">
        <v>40049</v>
      </c>
      <c r="B257" s="2" t="s">
        <v>38</v>
      </c>
      <c r="C257" t="s">
        <v>7</v>
      </c>
      <c r="D257" t="s">
        <v>209</v>
      </c>
      <c r="E257" s="2">
        <v>45746</v>
      </c>
      <c r="F257" s="2" cm="1">
        <f t="array" ref="F257">_xlfn.IFS(B257="Owner Surrender",E257,B257="Stray",E257+6,B257="Stray w/identification",E257+11,B257="Bite",E257+10,B257="Other",Blank)</f>
        <v>45752</v>
      </c>
      <c r="G257" s="2">
        <v>45757</v>
      </c>
      <c r="H257" s="6">
        <f t="shared" si="13"/>
        <v>11</v>
      </c>
      <c r="I257" s="6">
        <f t="shared" si="12"/>
        <v>5</v>
      </c>
      <c r="J257" s="2" t="s">
        <v>31</v>
      </c>
      <c r="L257" t="s">
        <v>44</v>
      </c>
    </row>
    <row r="258" spans="1:12" x14ac:dyDescent="0.25">
      <c r="A258" s="1">
        <v>40050</v>
      </c>
      <c r="B258" s="2" t="s">
        <v>38</v>
      </c>
      <c r="C258" t="s">
        <v>7</v>
      </c>
      <c r="D258" t="s">
        <v>209</v>
      </c>
      <c r="E258" s="2">
        <v>45746</v>
      </c>
      <c r="F258" s="2" cm="1">
        <f t="array" ref="F258">_xlfn.IFS(B258="Owner Surrender",E258,B258="Stray",E258+6,B258="Stray w/identification",E258+11,B258="Bite",E258+10,B258="Other",Blank)</f>
        <v>45752</v>
      </c>
      <c r="G258" s="2">
        <v>45757</v>
      </c>
      <c r="H258" s="6">
        <f t="shared" si="13"/>
        <v>11</v>
      </c>
      <c r="I258" s="6">
        <f t="shared" si="12"/>
        <v>5</v>
      </c>
      <c r="J258" s="2" t="s">
        <v>31</v>
      </c>
      <c r="L258" t="s">
        <v>44</v>
      </c>
    </row>
    <row r="259" spans="1:12" x14ac:dyDescent="0.25">
      <c r="A259" s="1">
        <v>40051</v>
      </c>
      <c r="B259" s="2" t="s">
        <v>38</v>
      </c>
      <c r="C259" t="s">
        <v>7</v>
      </c>
      <c r="D259" t="s">
        <v>209</v>
      </c>
      <c r="E259" s="2">
        <v>45746</v>
      </c>
      <c r="F259" s="2" cm="1">
        <f t="array" ref="F259">_xlfn.IFS(B259="Owner Surrender",E259,B259="Stray",E259+6,B259="Stray w/identification",E259+11,B259="Bite",E259+10,B259="Other",Blank)</f>
        <v>45752</v>
      </c>
      <c r="G259" s="2">
        <v>45757</v>
      </c>
      <c r="H259" s="6">
        <f t="shared" si="13"/>
        <v>11</v>
      </c>
      <c r="I259" s="6">
        <f t="shared" si="12"/>
        <v>5</v>
      </c>
      <c r="J259" s="2" t="s">
        <v>31</v>
      </c>
      <c r="L259" t="s">
        <v>44</v>
      </c>
    </row>
    <row r="260" spans="1:12" x14ac:dyDescent="0.25">
      <c r="A260" s="1">
        <v>40052</v>
      </c>
      <c r="B260" s="2" t="s">
        <v>38</v>
      </c>
      <c r="C260" t="s">
        <v>7</v>
      </c>
      <c r="D260" t="s">
        <v>209</v>
      </c>
      <c r="E260" s="2">
        <v>45746</v>
      </c>
      <c r="F260" s="2" cm="1">
        <f t="array" ref="F260">_xlfn.IFS(B260="Owner Surrender",E260,B260="Stray",E260+6,B260="Stray w/identification",E260+11,B260="Bite",E260+10,B260="Other",Blank)</f>
        <v>45752</v>
      </c>
      <c r="G260" s="2">
        <v>45757</v>
      </c>
      <c r="H260" s="6">
        <f t="shared" si="13"/>
        <v>11</v>
      </c>
      <c r="I260" s="6">
        <f t="shared" si="12"/>
        <v>5</v>
      </c>
      <c r="J260" s="2" t="s">
        <v>31</v>
      </c>
      <c r="L260" t="s">
        <v>44</v>
      </c>
    </row>
    <row r="261" spans="1:12" x14ac:dyDescent="0.25">
      <c r="A261" s="1">
        <v>40055</v>
      </c>
      <c r="B261" s="2" t="s">
        <v>38</v>
      </c>
      <c r="C261" t="s">
        <v>10</v>
      </c>
      <c r="D261" t="s">
        <v>208</v>
      </c>
      <c r="E261" s="2">
        <v>45748</v>
      </c>
      <c r="F261" s="2" cm="1">
        <f t="array" ref="F261">_xlfn.IFS(B261="Owner Surrender",E261,B261="Stray",E261+6,B261="Stray w/identification",E261+11,B261="Bite",E261+10,B261="Other",Blank)</f>
        <v>45754</v>
      </c>
      <c r="G261" s="2">
        <v>45757</v>
      </c>
      <c r="H261" s="6">
        <f t="shared" si="13"/>
        <v>9</v>
      </c>
      <c r="I261" s="6">
        <f t="shared" si="12"/>
        <v>3</v>
      </c>
      <c r="J261" s="2" t="s">
        <v>31</v>
      </c>
    </row>
    <row r="262" spans="1:12" x14ac:dyDescent="0.25">
      <c r="A262" s="1">
        <v>40056</v>
      </c>
      <c r="B262" s="2" t="s">
        <v>38</v>
      </c>
      <c r="C262" t="s">
        <v>7</v>
      </c>
      <c r="D262" t="s">
        <v>209</v>
      </c>
      <c r="E262" s="2">
        <v>45748</v>
      </c>
      <c r="F262" s="2" cm="1">
        <f t="array" ref="F262">_xlfn.IFS(B262="Owner Surrender",E262,B262="Stray",E262+6,B262="Stray w/identification",E262+11,B262="Bite",E262+10,B262="Other",Blank)</f>
        <v>45754</v>
      </c>
      <c r="G262" s="2">
        <v>45757</v>
      </c>
      <c r="H262" s="6">
        <f t="shared" si="13"/>
        <v>9</v>
      </c>
      <c r="I262" s="6">
        <f t="shared" si="12"/>
        <v>3</v>
      </c>
      <c r="J262" s="2" t="s">
        <v>18</v>
      </c>
    </row>
    <row r="263" spans="1:12" x14ac:dyDescent="0.25">
      <c r="A263" s="1">
        <v>40057</v>
      </c>
      <c r="B263" s="2" t="s">
        <v>38</v>
      </c>
      <c r="C263" t="s">
        <v>7</v>
      </c>
      <c r="D263" t="s">
        <v>209</v>
      </c>
      <c r="E263" s="2">
        <v>45748</v>
      </c>
      <c r="F263" s="2" cm="1">
        <f t="array" ref="F263">_xlfn.IFS(B263="Owner Surrender",E263,B263="Stray",E263+6,B263="Stray w/identification",E263+11,B263="Bite",E263+10,B263="Other",Blank)</f>
        <v>45754</v>
      </c>
      <c r="G263" s="2">
        <v>45757</v>
      </c>
      <c r="H263" s="6">
        <f t="shared" si="13"/>
        <v>9</v>
      </c>
      <c r="I263" s="6">
        <f t="shared" si="12"/>
        <v>3</v>
      </c>
      <c r="J263" s="2" t="s">
        <v>18</v>
      </c>
    </row>
    <row r="264" spans="1:12" x14ac:dyDescent="0.25">
      <c r="A264" s="1">
        <v>40058</v>
      </c>
      <c r="B264" s="2" t="s">
        <v>38</v>
      </c>
      <c r="C264" t="s">
        <v>7</v>
      </c>
      <c r="D264" t="s">
        <v>209</v>
      </c>
      <c r="E264" s="2">
        <v>45748</v>
      </c>
      <c r="F264" s="2" cm="1">
        <f t="array" ref="F264">_xlfn.IFS(B264="Owner Surrender",E264,B264="Stray",E264+6,B264="Stray w/identification",E264+11,B264="Bite",E264+10,B264="Other",Blank)</f>
        <v>45754</v>
      </c>
      <c r="G264" s="2">
        <v>45757</v>
      </c>
      <c r="H264" s="6">
        <f t="shared" si="13"/>
        <v>9</v>
      </c>
      <c r="I264" s="6">
        <f t="shared" si="12"/>
        <v>3</v>
      </c>
      <c r="J264" s="2" t="s">
        <v>18</v>
      </c>
    </row>
    <row r="265" spans="1:12" x14ac:dyDescent="0.25">
      <c r="A265" s="1">
        <v>40059</v>
      </c>
      <c r="B265" s="2" t="s">
        <v>38</v>
      </c>
      <c r="C265" t="s">
        <v>7</v>
      </c>
      <c r="D265" t="s">
        <v>209</v>
      </c>
      <c r="E265" s="2">
        <v>45748</v>
      </c>
      <c r="F265" s="2" cm="1">
        <f t="array" ref="F265">_xlfn.IFS(B265="Owner Surrender",E265,B265="Stray",E265+6,B265="Stray w/identification",E265+11,B265="Bite",E265+10,B265="Other",Blank)</f>
        <v>45754</v>
      </c>
      <c r="G265" s="2">
        <v>45757</v>
      </c>
      <c r="H265" s="6">
        <f t="shared" si="13"/>
        <v>9</v>
      </c>
      <c r="I265" s="6">
        <f t="shared" si="12"/>
        <v>3</v>
      </c>
      <c r="J265" s="2" t="s">
        <v>18</v>
      </c>
    </row>
    <row r="266" spans="1:12" x14ac:dyDescent="0.25">
      <c r="A266" s="1">
        <v>40060</v>
      </c>
      <c r="B266" s="2" t="s">
        <v>38</v>
      </c>
      <c r="C266" t="s">
        <v>7</v>
      </c>
      <c r="D266" t="s">
        <v>209</v>
      </c>
      <c r="E266" s="2">
        <v>45748</v>
      </c>
      <c r="F266" s="2" cm="1">
        <f t="array" ref="F266">_xlfn.IFS(B266="Owner Surrender",E266,B266="Stray",E266+6,B266="Stray w/identification",E266+11,B266="Bite",E266+10,B266="Other",Blank)</f>
        <v>45754</v>
      </c>
      <c r="G266" s="2">
        <v>45757</v>
      </c>
      <c r="H266" s="6">
        <f t="shared" si="13"/>
        <v>9</v>
      </c>
      <c r="I266" s="6">
        <f t="shared" si="12"/>
        <v>3</v>
      </c>
      <c r="J266" s="2" t="s">
        <v>18</v>
      </c>
    </row>
    <row r="267" spans="1:12" x14ac:dyDescent="0.25">
      <c r="A267" s="1">
        <v>40061</v>
      </c>
      <c r="B267" s="2" t="s">
        <v>38</v>
      </c>
      <c r="C267" t="s">
        <v>7</v>
      </c>
      <c r="D267" t="s">
        <v>209</v>
      </c>
      <c r="E267" s="2">
        <v>45748</v>
      </c>
      <c r="F267" s="2" cm="1">
        <f t="array" ref="F267">_xlfn.IFS(B267="Owner Surrender",E267,B267="Stray",E267+6,B267="Stray w/identification",E267+11,B267="Bite",E267+10,B267="Other",Blank)</f>
        <v>45754</v>
      </c>
      <c r="G267" s="2">
        <v>45757</v>
      </c>
      <c r="H267" s="6">
        <f t="shared" si="13"/>
        <v>9</v>
      </c>
      <c r="I267" s="6">
        <f t="shared" si="12"/>
        <v>3</v>
      </c>
      <c r="J267" s="2" t="s">
        <v>18</v>
      </c>
    </row>
    <row r="268" spans="1:12" x14ac:dyDescent="0.25">
      <c r="A268" s="1">
        <v>40062</v>
      </c>
      <c r="B268" s="2" t="s">
        <v>36</v>
      </c>
      <c r="C268" t="s">
        <v>7</v>
      </c>
      <c r="D268" t="s">
        <v>208</v>
      </c>
      <c r="E268" s="2">
        <v>45748</v>
      </c>
      <c r="F268" s="2" cm="1">
        <f t="array" ref="F268">_xlfn.IFS(B268="Owner Surrender",E268,B268="Stray",E268+6,B268="Stray w/identification",E268+11,B268="Bite",E268+10,B268="Other",Blank)</f>
        <v>45748</v>
      </c>
      <c r="G268" s="2">
        <v>45757</v>
      </c>
      <c r="H268" s="6">
        <f t="shared" si="13"/>
        <v>9</v>
      </c>
      <c r="I268" s="6">
        <f t="shared" si="12"/>
        <v>9</v>
      </c>
      <c r="J268" s="2" t="s">
        <v>18</v>
      </c>
    </row>
    <row r="269" spans="1:12" x14ac:dyDescent="0.25">
      <c r="A269" s="1">
        <v>40064</v>
      </c>
      <c r="B269" s="2" t="s">
        <v>38</v>
      </c>
      <c r="C269" t="s">
        <v>7</v>
      </c>
      <c r="D269" t="s">
        <v>208</v>
      </c>
      <c r="E269" s="2">
        <v>45749</v>
      </c>
      <c r="F269" s="2" cm="1">
        <f t="array" ref="F269">_xlfn.IFS(B269="Owner Surrender",E269,B269="Stray",E269+6,B269="Stray w/identification",E269+11,B269="Bite",E269+10,B269="Other",Blank)</f>
        <v>45755</v>
      </c>
      <c r="G269" s="2">
        <v>45757</v>
      </c>
      <c r="H269" s="6">
        <f t="shared" si="13"/>
        <v>8</v>
      </c>
      <c r="I269" s="6">
        <f t="shared" si="12"/>
        <v>2</v>
      </c>
      <c r="J269" s="2" t="s">
        <v>31</v>
      </c>
    </row>
    <row r="270" spans="1:12" x14ac:dyDescent="0.25">
      <c r="A270" s="1">
        <v>40065</v>
      </c>
      <c r="B270" s="2" t="s">
        <v>38</v>
      </c>
      <c r="C270" t="s">
        <v>7</v>
      </c>
      <c r="D270" t="s">
        <v>208</v>
      </c>
      <c r="E270" s="2">
        <v>45749</v>
      </c>
      <c r="F270" s="2" cm="1">
        <f t="array" ref="F270">_xlfn.IFS(B270="Owner Surrender",E270,B270="Stray",E270+6,B270="Stray w/identification",E270+11,B270="Bite",E270+10,B270="Other",Blank)</f>
        <v>45755</v>
      </c>
      <c r="G270" s="2">
        <v>45757</v>
      </c>
      <c r="H270" s="6">
        <f t="shared" si="13"/>
        <v>8</v>
      </c>
      <c r="I270" s="6">
        <f t="shared" si="12"/>
        <v>2</v>
      </c>
      <c r="J270" s="2" t="s">
        <v>18</v>
      </c>
    </row>
    <row r="271" spans="1:12" x14ac:dyDescent="0.25">
      <c r="A271" s="1">
        <v>40066</v>
      </c>
      <c r="B271" s="2" t="s">
        <v>38</v>
      </c>
      <c r="C271" t="s">
        <v>7</v>
      </c>
      <c r="D271" t="s">
        <v>208</v>
      </c>
      <c r="E271" s="2">
        <v>45749</v>
      </c>
      <c r="F271" s="2" cm="1">
        <f t="array" ref="F271">_xlfn.IFS(B271="Owner Surrender",E271,B271="Stray",E271+6,B271="Stray w/identification",E271+11,B271="Bite",E271+10,B271="Other",Blank)</f>
        <v>45755</v>
      </c>
      <c r="G271" s="2">
        <v>45757</v>
      </c>
      <c r="H271" s="6">
        <f t="shared" si="13"/>
        <v>8</v>
      </c>
      <c r="I271" s="6">
        <f t="shared" si="12"/>
        <v>2</v>
      </c>
      <c r="J271" s="2" t="s">
        <v>18</v>
      </c>
      <c r="L271" t="s">
        <v>34</v>
      </c>
    </row>
    <row r="272" spans="1:12" x14ac:dyDescent="0.25">
      <c r="A272" s="1">
        <v>40067</v>
      </c>
      <c r="B272" s="2" t="s">
        <v>38</v>
      </c>
      <c r="C272" t="s">
        <v>7</v>
      </c>
      <c r="D272" t="s">
        <v>208</v>
      </c>
      <c r="E272" s="2">
        <v>45749</v>
      </c>
      <c r="F272" s="2" cm="1">
        <f t="array" ref="F272">_xlfn.IFS(B272="Owner Surrender",E272,B272="Stray",E272+6,B272="Stray w/identification",E272+11,B272="Bite",E272+10,B272="Other",Blank)</f>
        <v>45755</v>
      </c>
      <c r="G272" s="2">
        <v>45757</v>
      </c>
      <c r="H272" s="6">
        <f t="shared" si="13"/>
        <v>8</v>
      </c>
      <c r="I272" s="6">
        <f t="shared" si="12"/>
        <v>2</v>
      </c>
      <c r="J272" s="2" t="s">
        <v>18</v>
      </c>
      <c r="L272" t="s">
        <v>34</v>
      </c>
    </row>
    <row r="273" spans="1:12" x14ac:dyDescent="0.25">
      <c r="A273" s="1">
        <v>40072</v>
      </c>
      <c r="B273" s="2" t="s">
        <v>38</v>
      </c>
      <c r="C273" t="s">
        <v>7</v>
      </c>
      <c r="D273" t="s">
        <v>208</v>
      </c>
      <c r="E273" s="2">
        <v>45750</v>
      </c>
      <c r="F273" s="2" cm="1">
        <f t="array" ref="F273">_xlfn.IFS(B273="Owner Surrender",E273,B273="Stray",E273+6,B273="Stray w/identification",E273+11,B273="Bite",E273+10,B273="Other",Blank)</f>
        <v>45756</v>
      </c>
      <c r="G273" s="2">
        <v>45757</v>
      </c>
      <c r="H273" s="6">
        <f t="shared" si="13"/>
        <v>7</v>
      </c>
      <c r="I273" s="6">
        <f t="shared" si="12"/>
        <v>1</v>
      </c>
      <c r="J273" s="2" t="s">
        <v>31</v>
      </c>
    </row>
    <row r="274" spans="1:12" x14ac:dyDescent="0.25">
      <c r="A274" s="1">
        <v>40075</v>
      </c>
      <c r="B274" s="2" t="s">
        <v>36</v>
      </c>
      <c r="C274" t="s">
        <v>7</v>
      </c>
      <c r="D274" t="s">
        <v>208</v>
      </c>
      <c r="E274" s="2">
        <v>45780</v>
      </c>
      <c r="F274" s="2" cm="1">
        <f t="array" ref="F274">_xlfn.IFS(B274="Owner Surrender",E274,B274="Stray",E274+6,B274="Stray w/identification",E274+11,B274="Bite",E274+10,B274="Other",Blank)</f>
        <v>45780</v>
      </c>
      <c r="H274" s="6">
        <f t="shared" si="13"/>
        <v>-45780</v>
      </c>
      <c r="I274" s="6">
        <f t="shared" si="12"/>
        <v>-45780</v>
      </c>
      <c r="J274" s="2" t="s">
        <v>21</v>
      </c>
      <c r="K274" t="s">
        <v>324</v>
      </c>
    </row>
    <row r="275" spans="1:12" x14ac:dyDescent="0.25">
      <c r="A275" s="1">
        <v>40076</v>
      </c>
      <c r="B275" s="2" t="s">
        <v>36</v>
      </c>
      <c r="C275" t="s">
        <v>7</v>
      </c>
      <c r="D275" t="s">
        <v>208</v>
      </c>
      <c r="E275" s="2">
        <v>45751</v>
      </c>
      <c r="F275" s="2" cm="1">
        <f t="array" ref="F275">_xlfn.IFS(B275="Owner Surrender",E275,B275="Stray",E275+6,B275="Stray w/identification",E275+11,B275="Bite",E275+10,B275="Other",Blank)</f>
        <v>45751</v>
      </c>
      <c r="G275" s="2">
        <v>45757</v>
      </c>
      <c r="H275" s="6">
        <f t="shared" si="13"/>
        <v>6</v>
      </c>
      <c r="I275" s="6">
        <f t="shared" si="12"/>
        <v>6</v>
      </c>
      <c r="J275" s="2" t="s">
        <v>18</v>
      </c>
      <c r="K275" t="s">
        <v>113</v>
      </c>
    </row>
    <row r="276" spans="1:12" x14ac:dyDescent="0.25">
      <c r="A276" s="1">
        <v>40079</v>
      </c>
      <c r="B276" s="2" t="s">
        <v>36</v>
      </c>
      <c r="C276" t="s">
        <v>314</v>
      </c>
      <c r="D276" t="s">
        <v>208</v>
      </c>
      <c r="E276" s="2">
        <v>45752</v>
      </c>
      <c r="F276" s="2" cm="1">
        <f t="array" ref="F276">_xlfn.IFS(B276="Owner Surrender",E276,B276="Stray",E276+6,B276="Stray w/identification",E276+11,B276="Bite",E276+10,B276="Other",Blank)</f>
        <v>45752</v>
      </c>
      <c r="G276" s="2">
        <v>45794</v>
      </c>
      <c r="H276" s="6">
        <f t="shared" si="13"/>
        <v>42</v>
      </c>
      <c r="I276" s="6">
        <f t="shared" si="12"/>
        <v>42</v>
      </c>
      <c r="J276" s="2" t="s">
        <v>11</v>
      </c>
    </row>
    <row r="277" spans="1:12" x14ac:dyDescent="0.25">
      <c r="A277" s="1">
        <v>40082</v>
      </c>
      <c r="B277" s="2" t="s">
        <v>38</v>
      </c>
      <c r="C277" t="s">
        <v>7</v>
      </c>
      <c r="D277" t="s">
        <v>208</v>
      </c>
      <c r="E277" s="2">
        <v>45753</v>
      </c>
      <c r="F277" s="2" cm="1">
        <f t="array" ref="F277">_xlfn.IFS(B277="Owner Surrender",E277,B277="Stray",E277+6,B277="Stray w/identification",E277+11,B277="Bite",E277+10,B277="Other",Blank)</f>
        <v>45759</v>
      </c>
      <c r="G277" s="2">
        <v>45784</v>
      </c>
      <c r="H277" s="6">
        <f t="shared" si="13"/>
        <v>31</v>
      </c>
      <c r="I277" s="6">
        <f t="shared" si="12"/>
        <v>25</v>
      </c>
      <c r="J277" s="2" t="s">
        <v>31</v>
      </c>
      <c r="K277" t="s">
        <v>373</v>
      </c>
    </row>
    <row r="278" spans="1:12" x14ac:dyDescent="0.25">
      <c r="A278" s="1">
        <v>40091</v>
      </c>
      <c r="B278" s="2" t="s">
        <v>38</v>
      </c>
      <c r="C278" t="s">
        <v>15</v>
      </c>
      <c r="D278" t="s">
        <v>208</v>
      </c>
      <c r="E278" s="2">
        <v>45754</v>
      </c>
      <c r="F278" s="2" cm="1">
        <f t="array" ref="F278">_xlfn.IFS(B278="Owner Surrender",E278,B278="Stray",E278+6,B278="Stray w/identification",E278+11,B278="Bite",E278+10,B278="Other",Blank)</f>
        <v>45760</v>
      </c>
      <c r="G278" s="2">
        <v>45763</v>
      </c>
      <c r="H278" s="6">
        <f t="shared" si="13"/>
        <v>9</v>
      </c>
      <c r="I278" s="6">
        <f t="shared" si="12"/>
        <v>3</v>
      </c>
      <c r="J278" s="2" t="s">
        <v>31</v>
      </c>
    </row>
    <row r="279" spans="1:12" x14ac:dyDescent="0.25">
      <c r="A279" s="1">
        <v>40095</v>
      </c>
      <c r="B279" s="2" t="s">
        <v>38</v>
      </c>
      <c r="C279" t="s">
        <v>7</v>
      </c>
      <c r="D279" t="s">
        <v>208</v>
      </c>
      <c r="E279" s="2">
        <v>45757</v>
      </c>
      <c r="F279" s="2" cm="1">
        <f t="array" ref="F279">_xlfn.IFS(B279="Owner Surrender",E279,B279="Stray",E279+6,B279="Stray w/identification",E279+11,B279="Bite",E279+10,B279="Other",Blank)</f>
        <v>45763</v>
      </c>
      <c r="G279" s="2">
        <v>45774</v>
      </c>
      <c r="H279" s="6">
        <f t="shared" si="13"/>
        <v>17</v>
      </c>
      <c r="I279" s="6">
        <f t="shared" si="12"/>
        <v>11</v>
      </c>
      <c r="J279" s="2" t="s">
        <v>31</v>
      </c>
      <c r="L279" t="s">
        <v>370</v>
      </c>
    </row>
    <row r="280" spans="1:12" x14ac:dyDescent="0.25">
      <c r="A280" s="1">
        <v>40101</v>
      </c>
      <c r="B280" s="2" t="s">
        <v>38</v>
      </c>
      <c r="C280" t="s">
        <v>7</v>
      </c>
      <c r="D280" t="s">
        <v>209</v>
      </c>
      <c r="E280" s="2">
        <v>45757</v>
      </c>
      <c r="F280" s="2" cm="1">
        <f t="array" ref="F280">_xlfn.IFS(B280="Owner Surrender",E280,B280="Stray",E280+6,B280="Stray w/identification",E280+11,B280="Bite",E280+10,B280="Other",Blank)</f>
        <v>45763</v>
      </c>
      <c r="G280" s="2">
        <v>45757</v>
      </c>
      <c r="H280" s="6">
        <f t="shared" si="13"/>
        <v>0</v>
      </c>
      <c r="I280" s="6">
        <f t="shared" si="12"/>
        <v>-6</v>
      </c>
      <c r="J280" s="2" t="s">
        <v>31</v>
      </c>
      <c r="L280" t="s">
        <v>47</v>
      </c>
    </row>
    <row r="281" spans="1:12" x14ac:dyDescent="0.25">
      <c r="A281" s="1">
        <v>40103</v>
      </c>
      <c r="B281" s="2" t="s">
        <v>61</v>
      </c>
      <c r="C281" t="s">
        <v>7</v>
      </c>
      <c r="D281" t="s">
        <v>209</v>
      </c>
      <c r="E281" s="2">
        <v>45757</v>
      </c>
      <c r="F281" s="2" t="e" cm="1">
        <f t="array" ref="F281">_xlfn.IFS(B281="Owner Surrender",E281,B281="Stray",E281+6,B281="Stray w/identification",E281+11,B281="Bite",E281+10,B281="Other",Blank)</f>
        <v>#NAME?</v>
      </c>
      <c r="G281" s="2">
        <v>45770</v>
      </c>
      <c r="H281" s="6">
        <f t="shared" si="13"/>
        <v>13</v>
      </c>
      <c r="I281" s="6" t="e">
        <f t="shared" si="12"/>
        <v>#NAME?</v>
      </c>
      <c r="J281" s="2" t="s">
        <v>31</v>
      </c>
      <c r="L281" t="s">
        <v>44</v>
      </c>
    </row>
    <row r="282" spans="1:12" x14ac:dyDescent="0.25">
      <c r="A282" s="1">
        <v>40110</v>
      </c>
      <c r="B282" s="2" t="s">
        <v>36</v>
      </c>
      <c r="C282" t="s">
        <v>7</v>
      </c>
      <c r="D282" t="s">
        <v>208</v>
      </c>
      <c r="E282" s="2">
        <v>45759</v>
      </c>
      <c r="F282" s="2" cm="1">
        <f t="array" ref="F282">_xlfn.IFS(B282="Owner Surrender",E282,B282="Stray",E282+6,B282="Stray w/identification",E282+11,B282="Bite",E282+10,B282="Other",Blank)</f>
        <v>45759</v>
      </c>
      <c r="G282" s="2">
        <v>45772</v>
      </c>
      <c r="H282" s="6">
        <f t="shared" si="13"/>
        <v>13</v>
      </c>
      <c r="I282" s="6">
        <f t="shared" si="12"/>
        <v>13</v>
      </c>
      <c r="J282" s="2" t="s">
        <v>31</v>
      </c>
      <c r="K282" t="s">
        <v>372</v>
      </c>
    </row>
    <row r="283" spans="1:12" x14ac:dyDescent="0.25">
      <c r="A283" s="1">
        <v>40111</v>
      </c>
      <c r="B283" s="2" t="s">
        <v>36</v>
      </c>
      <c r="C283" t="s">
        <v>7</v>
      </c>
      <c r="D283" t="s">
        <v>208</v>
      </c>
      <c r="E283" s="2">
        <v>45759</v>
      </c>
      <c r="F283" s="2" cm="1">
        <f t="array" ref="F283">_xlfn.IFS(B283="Owner Surrender",E283,B283="Stray",E283+6,B283="Stray w/identification",E283+11,B283="Bite",E283+10,B283="Other",Blank)</f>
        <v>45759</v>
      </c>
      <c r="G283" s="2">
        <v>45784</v>
      </c>
      <c r="H283" s="6">
        <f t="shared" si="13"/>
        <v>25</v>
      </c>
      <c r="I283" s="6">
        <f t="shared" si="12"/>
        <v>25</v>
      </c>
      <c r="J283" s="2" t="s">
        <v>31</v>
      </c>
    </row>
    <row r="284" spans="1:12" x14ac:dyDescent="0.25">
      <c r="A284" s="1">
        <v>40112</v>
      </c>
      <c r="B284" s="2" t="s">
        <v>36</v>
      </c>
      <c r="C284" t="s">
        <v>7</v>
      </c>
      <c r="D284" t="s">
        <v>208</v>
      </c>
      <c r="E284" s="2">
        <v>45759</v>
      </c>
      <c r="F284" s="2" cm="1">
        <f t="array" ref="F284">_xlfn.IFS(B284="Owner Surrender",E284,B284="Stray",E284+6,B284="Stray w/identification",E284+11,B284="Bite",E284+10,B284="Other",Blank)</f>
        <v>45759</v>
      </c>
      <c r="G284" s="2">
        <v>45772</v>
      </c>
      <c r="H284" s="6">
        <f t="shared" si="13"/>
        <v>13</v>
      </c>
      <c r="I284" s="6">
        <f t="shared" si="12"/>
        <v>13</v>
      </c>
      <c r="J284" s="2" t="s">
        <v>31</v>
      </c>
    </row>
    <row r="285" spans="1:12" x14ac:dyDescent="0.25">
      <c r="A285" s="1">
        <v>40113</v>
      </c>
      <c r="B285" s="2" t="s">
        <v>36</v>
      </c>
      <c r="C285" t="s">
        <v>7</v>
      </c>
      <c r="D285" t="s">
        <v>208</v>
      </c>
      <c r="E285" s="2">
        <v>45759</v>
      </c>
      <c r="F285" s="2" cm="1">
        <f t="array" ref="F285">_xlfn.IFS(B285="Owner Surrender",E285,B285="Stray",E285+6,B285="Stray w/identification",E285+11,B285="Bite",E285+10,B285="Other",Blank)</f>
        <v>45759</v>
      </c>
      <c r="G285" s="2">
        <v>45770</v>
      </c>
      <c r="H285" s="6">
        <f t="shared" si="13"/>
        <v>11</v>
      </c>
      <c r="I285" s="6">
        <f t="shared" si="12"/>
        <v>11</v>
      </c>
      <c r="J285" s="2" t="s">
        <v>31</v>
      </c>
    </row>
    <row r="286" spans="1:12" x14ac:dyDescent="0.25">
      <c r="A286" s="3">
        <v>40119</v>
      </c>
      <c r="B286" s="2" t="s">
        <v>36</v>
      </c>
      <c r="C286" t="s">
        <v>7</v>
      </c>
      <c r="D286" t="s">
        <v>209</v>
      </c>
      <c r="E286" s="2">
        <v>45759</v>
      </c>
      <c r="F286" s="2" cm="1">
        <f t="array" ref="F286">_xlfn.IFS(B286="Owner Surrender",E286,B286="Stray",E286+6,B286="Stray w/identification",E286+11,B286="Bite",E286+10,B286="Other",Blank)</f>
        <v>45759</v>
      </c>
      <c r="G286" s="2">
        <v>45841</v>
      </c>
      <c r="H286" s="6">
        <f t="shared" si="13"/>
        <v>82</v>
      </c>
      <c r="I286" s="6">
        <f t="shared" si="12"/>
        <v>82</v>
      </c>
      <c r="J286" s="2" t="s">
        <v>31</v>
      </c>
      <c r="L286" t="s">
        <v>178</v>
      </c>
    </row>
    <row r="287" spans="1:12" x14ac:dyDescent="0.25">
      <c r="A287" s="1">
        <v>40120</v>
      </c>
      <c r="B287" s="2" t="s">
        <v>36</v>
      </c>
      <c r="C287" t="s">
        <v>7</v>
      </c>
      <c r="D287" t="s">
        <v>209</v>
      </c>
      <c r="E287" s="2">
        <v>45759</v>
      </c>
      <c r="F287" s="2" cm="1">
        <f t="array" ref="F287">_xlfn.IFS(B287="Owner Surrender",E287,B287="Stray",E287+6,B287="Stray w/identification",E287+11,B287="Bite",E287+10,B287="Other",Blank)</f>
        <v>45759</v>
      </c>
      <c r="G287" s="2">
        <v>45766</v>
      </c>
      <c r="H287" s="6">
        <f t="shared" si="13"/>
        <v>7</v>
      </c>
      <c r="I287" s="6">
        <f t="shared" si="12"/>
        <v>7</v>
      </c>
      <c r="J287" s="2" t="s">
        <v>28</v>
      </c>
      <c r="L287" t="s">
        <v>371</v>
      </c>
    </row>
    <row r="288" spans="1:12" x14ac:dyDescent="0.25">
      <c r="A288" s="1">
        <v>40121</v>
      </c>
      <c r="B288" s="2" t="s">
        <v>36</v>
      </c>
      <c r="C288" t="s">
        <v>7</v>
      </c>
      <c r="D288" t="s">
        <v>209</v>
      </c>
      <c r="E288" s="2">
        <v>45759</v>
      </c>
      <c r="F288" s="2" cm="1">
        <f t="array" ref="F288">_xlfn.IFS(B288="Owner Surrender",E288,B288="Stray",E288+6,B288="Stray w/identification",E288+11,B288="Bite",E288+10,B288="Other",Blank)</f>
        <v>45759</v>
      </c>
      <c r="G288" s="2">
        <v>45775</v>
      </c>
      <c r="H288" s="6">
        <f t="shared" si="13"/>
        <v>16</v>
      </c>
      <c r="I288" s="6">
        <f t="shared" si="12"/>
        <v>16</v>
      </c>
      <c r="J288" s="2" t="s">
        <v>31</v>
      </c>
    </row>
    <row r="289" spans="1:12" x14ac:dyDescent="0.25">
      <c r="A289" s="3">
        <v>40122</v>
      </c>
      <c r="B289" s="2" t="s">
        <v>36</v>
      </c>
      <c r="C289" t="s">
        <v>7</v>
      </c>
      <c r="D289" t="s">
        <v>209</v>
      </c>
      <c r="E289" s="2">
        <v>45759</v>
      </c>
      <c r="F289" s="2" cm="1">
        <f t="array" ref="F289">_xlfn.IFS(B289="Owner Surrender",E289,B289="Stray",E289+6,B289="Stray w/identification",E289+11,B289="Bite",E289+10,B289="Other",Blank)</f>
        <v>45759</v>
      </c>
      <c r="G289" s="2">
        <v>45853</v>
      </c>
      <c r="H289" s="6">
        <f t="shared" si="13"/>
        <v>94</v>
      </c>
      <c r="I289" s="6">
        <f t="shared" si="12"/>
        <v>94</v>
      </c>
      <c r="J289" t="s">
        <v>31</v>
      </c>
      <c r="K289" t="s">
        <v>37</v>
      </c>
    </row>
    <row r="290" spans="1:12" x14ac:dyDescent="0.25">
      <c r="A290" s="1">
        <v>40123</v>
      </c>
      <c r="B290" s="2" t="s">
        <v>36</v>
      </c>
      <c r="C290" t="s">
        <v>15</v>
      </c>
      <c r="D290" t="s">
        <v>208</v>
      </c>
      <c r="E290" s="2">
        <v>45760</v>
      </c>
      <c r="F290" s="2" cm="1">
        <f t="array" ref="F290">_xlfn.IFS(B290="Owner Surrender",E290,B290="Stray",E290+6,B290="Stray w/identification",E290+11,B290="Bite",E290+10,B290="Other",Blank)</f>
        <v>45760</v>
      </c>
      <c r="G290" s="2">
        <v>45791</v>
      </c>
      <c r="H290" s="6">
        <f t="shared" si="13"/>
        <v>31</v>
      </c>
      <c r="I290" s="6">
        <f t="shared" si="12"/>
        <v>31</v>
      </c>
      <c r="J290" s="2" t="s">
        <v>18</v>
      </c>
      <c r="L290" t="s">
        <v>370</v>
      </c>
    </row>
    <row r="291" spans="1:12" x14ac:dyDescent="0.25">
      <c r="A291" s="1">
        <v>40124</v>
      </c>
      <c r="B291" s="2" t="s">
        <v>38</v>
      </c>
      <c r="C291" t="s">
        <v>7</v>
      </c>
      <c r="D291" t="s">
        <v>209</v>
      </c>
      <c r="E291" s="2">
        <v>45760</v>
      </c>
      <c r="F291" s="2" cm="1">
        <f t="array" ref="F291">_xlfn.IFS(B291="Owner Surrender",E291,B291="Stray",E291+6,B291="Stray w/identification",E291+11,B291="Bite",E291+10,B291="Other",Blank)</f>
        <v>45766</v>
      </c>
      <c r="G291" s="2">
        <v>45761</v>
      </c>
      <c r="H291" s="6">
        <f t="shared" si="13"/>
        <v>1</v>
      </c>
      <c r="I291" s="6">
        <f t="shared" si="12"/>
        <v>-5</v>
      </c>
      <c r="J291" s="2" t="s">
        <v>31</v>
      </c>
      <c r="L291" t="s">
        <v>47</v>
      </c>
    </row>
    <row r="292" spans="1:12" x14ac:dyDescent="0.25">
      <c r="A292" s="1">
        <v>40125</v>
      </c>
      <c r="B292" s="2" t="s">
        <v>38</v>
      </c>
      <c r="C292" t="s">
        <v>7</v>
      </c>
      <c r="D292" t="s">
        <v>209</v>
      </c>
      <c r="E292" s="2">
        <v>45760</v>
      </c>
      <c r="F292" s="2" cm="1">
        <f t="array" ref="F292">_xlfn.IFS(B292="Owner Surrender",E292,B292="Stray",E292+6,B292="Stray w/identification",E292+11,B292="Bite",E292+10,B292="Other",Blank)</f>
        <v>45766</v>
      </c>
      <c r="G292" s="2">
        <v>45761</v>
      </c>
      <c r="H292" s="6">
        <f t="shared" si="13"/>
        <v>1</v>
      </c>
      <c r="I292" s="6">
        <f t="shared" si="12"/>
        <v>-5</v>
      </c>
      <c r="J292" s="2" t="s">
        <v>31</v>
      </c>
      <c r="L292" t="s">
        <v>47</v>
      </c>
    </row>
    <row r="293" spans="1:12" x14ac:dyDescent="0.25">
      <c r="A293" s="1">
        <v>40126</v>
      </c>
      <c r="B293" s="2" t="s">
        <v>38</v>
      </c>
      <c r="C293" t="s">
        <v>7</v>
      </c>
      <c r="D293" t="s">
        <v>209</v>
      </c>
      <c r="E293" s="2">
        <v>45760</v>
      </c>
      <c r="F293" s="2" cm="1">
        <f t="array" ref="F293">_xlfn.IFS(B293="Owner Surrender",E293,B293="Stray",E293+6,B293="Stray w/identification",E293+11,B293="Bite",E293+10,B293="Other",Blank)</f>
        <v>45766</v>
      </c>
      <c r="G293" s="2">
        <v>45761</v>
      </c>
      <c r="H293" s="6">
        <f t="shared" si="13"/>
        <v>1</v>
      </c>
      <c r="I293" s="6">
        <f t="shared" si="12"/>
        <v>-5</v>
      </c>
      <c r="J293" s="2" t="s">
        <v>31</v>
      </c>
      <c r="L293" t="s">
        <v>47</v>
      </c>
    </row>
    <row r="294" spans="1:12" x14ac:dyDescent="0.25">
      <c r="A294" s="1">
        <v>40127</v>
      </c>
      <c r="B294" s="2" t="s">
        <v>38</v>
      </c>
      <c r="C294" t="s">
        <v>10</v>
      </c>
      <c r="D294" t="s">
        <v>209</v>
      </c>
      <c r="E294" s="2">
        <v>45760</v>
      </c>
      <c r="F294" s="2" cm="1">
        <f t="array" ref="F294">_xlfn.IFS(B294="Owner Surrender",E294,B294="Stray",E294+6,B294="Stray w/identification",E294+11,B294="Bite",E294+10,B294="Other",Blank)</f>
        <v>45766</v>
      </c>
      <c r="G294" s="2">
        <v>45761</v>
      </c>
      <c r="H294" s="6">
        <f t="shared" si="13"/>
        <v>1</v>
      </c>
      <c r="I294" s="6">
        <f t="shared" ref="I294:I357" si="14">G294-F294</f>
        <v>-5</v>
      </c>
      <c r="J294" s="2" t="s">
        <v>31</v>
      </c>
      <c r="L294" t="s">
        <v>47</v>
      </c>
    </row>
    <row r="295" spans="1:12" x14ac:dyDescent="0.25">
      <c r="A295" s="1">
        <v>40128</v>
      </c>
      <c r="B295" s="2" t="s">
        <v>38</v>
      </c>
      <c r="C295" t="s">
        <v>10</v>
      </c>
      <c r="D295" t="s">
        <v>209</v>
      </c>
      <c r="E295" s="2">
        <v>45760</v>
      </c>
      <c r="F295" s="2" cm="1">
        <f t="array" ref="F295">_xlfn.IFS(B295="Owner Surrender",E295,B295="Stray",E295+6,B295="Stray w/identification",E295+11,B295="Bite",E295+10,B295="Other",Blank)</f>
        <v>45766</v>
      </c>
      <c r="G295" s="2">
        <v>45761</v>
      </c>
      <c r="H295" s="6">
        <f t="shared" si="13"/>
        <v>1</v>
      </c>
      <c r="I295" s="6">
        <f t="shared" si="14"/>
        <v>-5</v>
      </c>
      <c r="J295" s="2" t="s">
        <v>31</v>
      </c>
      <c r="L295" t="s">
        <v>47</v>
      </c>
    </row>
    <row r="296" spans="1:12" x14ac:dyDescent="0.25">
      <c r="A296" s="1">
        <v>40129</v>
      </c>
      <c r="B296" s="2" t="s">
        <v>38</v>
      </c>
      <c r="C296" t="s">
        <v>7</v>
      </c>
      <c r="D296" t="s">
        <v>209</v>
      </c>
      <c r="E296" s="2">
        <v>45760</v>
      </c>
      <c r="F296" s="2" cm="1">
        <f t="array" ref="F296">_xlfn.IFS(B296="Owner Surrender",E296,B296="Stray",E296+6,B296="Stray w/identification",E296+11,B296="Bite",E296+10,B296="Other",Blank)</f>
        <v>45766</v>
      </c>
      <c r="G296" s="2">
        <v>45761</v>
      </c>
      <c r="H296" s="6">
        <f t="shared" ref="H296:H359" si="15">+G296-E296</f>
        <v>1</v>
      </c>
      <c r="I296" s="6">
        <f t="shared" si="14"/>
        <v>-5</v>
      </c>
      <c r="J296" s="2" t="s">
        <v>31</v>
      </c>
      <c r="L296" t="s">
        <v>47</v>
      </c>
    </row>
    <row r="297" spans="1:12" x14ac:dyDescent="0.25">
      <c r="A297" s="1">
        <v>40130</v>
      </c>
      <c r="B297" s="2" t="s">
        <v>38</v>
      </c>
      <c r="C297" t="s">
        <v>7</v>
      </c>
      <c r="D297" t="s">
        <v>208</v>
      </c>
      <c r="E297" s="2">
        <v>45761</v>
      </c>
      <c r="F297" s="2" cm="1">
        <f t="array" ref="F297">_xlfn.IFS(B297="Owner Surrender",E297,B297="Stray",E297+6,B297="Stray w/identification",E297+11,B297="Bite",E297+10,B297="Other",Blank)</f>
        <v>45767</v>
      </c>
      <c r="G297" s="2">
        <v>45761</v>
      </c>
      <c r="H297" s="6">
        <f t="shared" si="15"/>
        <v>0</v>
      </c>
      <c r="I297" s="6">
        <f t="shared" si="14"/>
        <v>-6</v>
      </c>
      <c r="J297" s="2" t="s">
        <v>31</v>
      </c>
      <c r="L297" t="s">
        <v>369</v>
      </c>
    </row>
    <row r="298" spans="1:12" x14ac:dyDescent="0.25">
      <c r="A298" s="1">
        <v>40131</v>
      </c>
      <c r="B298" s="2" t="s">
        <v>61</v>
      </c>
      <c r="C298" t="s">
        <v>7</v>
      </c>
      <c r="D298" t="s">
        <v>209</v>
      </c>
      <c r="E298" s="2">
        <v>45757</v>
      </c>
      <c r="F298" s="2" t="e" cm="1">
        <f t="array" ref="F298">_xlfn.IFS(B298="Owner Surrender",E298,B298="Stray",E298+6,B298="Stray w/identification",E298+11,B298="Bite",E298+10,B298="Other",Blank)</f>
        <v>#NAME?</v>
      </c>
      <c r="G298" s="2">
        <v>45770</v>
      </c>
      <c r="H298" s="6">
        <f t="shared" si="15"/>
        <v>13</v>
      </c>
      <c r="I298" s="6" t="e">
        <f t="shared" si="14"/>
        <v>#NAME?</v>
      </c>
      <c r="J298" s="2" t="s">
        <v>31</v>
      </c>
      <c r="L298" t="s">
        <v>368</v>
      </c>
    </row>
    <row r="299" spans="1:12" x14ac:dyDescent="0.25">
      <c r="A299" s="1">
        <v>40132</v>
      </c>
      <c r="B299" s="2" t="s">
        <v>61</v>
      </c>
      <c r="C299" t="s">
        <v>7</v>
      </c>
      <c r="D299" t="s">
        <v>209</v>
      </c>
      <c r="E299" s="2">
        <v>45759</v>
      </c>
      <c r="F299" s="2" t="e" cm="1">
        <f t="array" ref="F299">_xlfn.IFS(B299="Owner Surrender",E299,B299="Stray",E299+6,B299="Stray w/identification",E299+11,B299="Bite",E299+10,B299="Other",Blank)</f>
        <v>#NAME?</v>
      </c>
      <c r="G299" s="2">
        <v>45770</v>
      </c>
      <c r="H299" s="6">
        <f t="shared" si="15"/>
        <v>11</v>
      </c>
      <c r="I299" s="6" t="e">
        <f t="shared" si="14"/>
        <v>#NAME?</v>
      </c>
      <c r="J299" s="2" t="s">
        <v>31</v>
      </c>
      <c r="L299" t="s">
        <v>368</v>
      </c>
    </row>
    <row r="300" spans="1:12" x14ac:dyDescent="0.25">
      <c r="A300" s="1">
        <v>40144</v>
      </c>
      <c r="B300" s="2" t="s">
        <v>38</v>
      </c>
      <c r="C300" t="s">
        <v>10</v>
      </c>
      <c r="D300" t="s">
        <v>209</v>
      </c>
      <c r="E300" s="2">
        <v>45762</v>
      </c>
      <c r="F300" s="2" cm="1">
        <f t="array" ref="F300">_xlfn.IFS(B300="Owner Surrender",E300,B300="Stray",E300+6,B300="Stray w/identification",E300+11,B300="Bite",E300+10,B300="Other",Blank)</f>
        <v>45768</v>
      </c>
      <c r="G300" s="2">
        <v>45770</v>
      </c>
      <c r="H300" s="6">
        <f t="shared" si="15"/>
        <v>8</v>
      </c>
      <c r="I300" s="6">
        <f t="shared" si="14"/>
        <v>2</v>
      </c>
      <c r="J300" s="2" t="s">
        <v>31</v>
      </c>
    </row>
    <row r="301" spans="1:12" x14ac:dyDescent="0.25">
      <c r="A301" s="1">
        <v>40145</v>
      </c>
      <c r="B301" s="2" t="s">
        <v>38</v>
      </c>
      <c r="C301" t="s">
        <v>10</v>
      </c>
      <c r="D301" t="s">
        <v>208</v>
      </c>
      <c r="E301" s="2">
        <v>45762</v>
      </c>
      <c r="F301" s="2" cm="1">
        <f t="array" ref="F301">_xlfn.IFS(B301="Owner Surrender",E301,B301="Stray",E301+6,B301="Stray w/identification",E301+11,B301="Bite",E301+10,B301="Other",Blank)</f>
        <v>45768</v>
      </c>
      <c r="G301" s="2">
        <v>45784</v>
      </c>
      <c r="H301" s="6">
        <f t="shared" si="15"/>
        <v>22</v>
      </c>
      <c r="I301" s="6">
        <f t="shared" si="14"/>
        <v>16</v>
      </c>
      <c r="J301" s="2" t="s">
        <v>31</v>
      </c>
    </row>
    <row r="302" spans="1:12" x14ac:dyDescent="0.25">
      <c r="A302" s="1">
        <v>40152</v>
      </c>
      <c r="B302" s="2" t="s">
        <v>36</v>
      </c>
      <c r="C302" t="s">
        <v>10</v>
      </c>
      <c r="D302" t="s">
        <v>208</v>
      </c>
      <c r="E302" s="2">
        <v>45764</v>
      </c>
      <c r="F302" s="2" cm="1">
        <f t="array" ref="F302">_xlfn.IFS(B302="Owner Surrender",E302,B302="Stray",E302+6,B302="Stray w/identification",E302+11,B302="Bite",E302+10,B302="Other",Blank)</f>
        <v>45764</v>
      </c>
      <c r="G302" s="2">
        <v>45771</v>
      </c>
      <c r="H302" s="6">
        <f t="shared" si="15"/>
        <v>7</v>
      </c>
      <c r="I302" s="6">
        <f t="shared" si="14"/>
        <v>7</v>
      </c>
      <c r="J302" s="2" t="s">
        <v>31</v>
      </c>
    </row>
    <row r="303" spans="1:12" x14ac:dyDescent="0.25">
      <c r="A303" s="1">
        <v>40155</v>
      </c>
      <c r="B303" s="2" t="s">
        <v>38</v>
      </c>
      <c r="C303" t="s">
        <v>7</v>
      </c>
      <c r="D303" t="s">
        <v>208</v>
      </c>
      <c r="E303" s="2">
        <v>45765</v>
      </c>
      <c r="F303" s="2" cm="1">
        <f t="array" ref="F303">_xlfn.IFS(B303="Owner Surrender",E303,B303="Stray",E303+6,B303="Stray w/identification",E303+11,B303="Bite",E303+10,B303="Other",Blank)</f>
        <v>45771</v>
      </c>
      <c r="G303" s="2">
        <v>45776</v>
      </c>
      <c r="H303" s="6">
        <f t="shared" si="15"/>
        <v>11</v>
      </c>
      <c r="I303" s="6">
        <f t="shared" si="14"/>
        <v>5</v>
      </c>
      <c r="J303" s="2" t="s">
        <v>31</v>
      </c>
      <c r="K303" t="s">
        <v>367</v>
      </c>
    </row>
    <row r="304" spans="1:12" x14ac:dyDescent="0.25">
      <c r="A304" s="1">
        <v>40156</v>
      </c>
      <c r="B304" s="2" t="s">
        <v>38</v>
      </c>
      <c r="C304" t="s">
        <v>7</v>
      </c>
      <c r="D304" t="s">
        <v>208</v>
      </c>
      <c r="E304" s="2">
        <v>45765</v>
      </c>
      <c r="F304" s="2" cm="1">
        <f t="array" ref="F304">_xlfn.IFS(B304="Owner Surrender",E304,B304="Stray",E304+6,B304="Stray w/identification",E304+11,B304="Bite",E304+10,B304="Other",Blank)</f>
        <v>45771</v>
      </c>
      <c r="G304" s="2">
        <v>45769</v>
      </c>
      <c r="H304" s="6">
        <f t="shared" si="15"/>
        <v>4</v>
      </c>
      <c r="I304" s="6">
        <f t="shared" si="14"/>
        <v>-2</v>
      </c>
      <c r="J304" s="2" t="s">
        <v>31</v>
      </c>
    </row>
    <row r="305" spans="1:12" x14ac:dyDescent="0.25">
      <c r="A305" s="1">
        <v>40159</v>
      </c>
      <c r="B305" s="2" t="s">
        <v>36</v>
      </c>
      <c r="C305" t="s">
        <v>7</v>
      </c>
      <c r="D305" t="s">
        <v>208</v>
      </c>
      <c r="E305" s="2">
        <v>45765</v>
      </c>
      <c r="F305" s="2" cm="1">
        <f t="array" ref="F305">_xlfn.IFS(B305="Owner Surrender",E305,B305="Stray",E305+6,B305="Stray w/identification",E305+11,B305="Bite",E305+10,B305="Other",Blank)</f>
        <v>45765</v>
      </c>
      <c r="G305" s="2">
        <v>45770</v>
      </c>
      <c r="H305" s="6">
        <f t="shared" si="15"/>
        <v>5</v>
      </c>
      <c r="I305" s="6">
        <f t="shared" si="14"/>
        <v>5</v>
      </c>
      <c r="J305" s="2" t="s">
        <v>31</v>
      </c>
    </row>
    <row r="306" spans="1:12" x14ac:dyDescent="0.25">
      <c r="A306" s="1">
        <v>40163</v>
      </c>
      <c r="B306" s="2" t="s">
        <v>36</v>
      </c>
      <c r="C306" t="s">
        <v>10</v>
      </c>
      <c r="D306" t="s">
        <v>208</v>
      </c>
      <c r="E306" s="2">
        <v>45766</v>
      </c>
      <c r="F306" s="2" cm="1">
        <f t="array" ref="F306">_xlfn.IFS(B306="Owner Surrender",E306,B306="Stray",E306+6,B306="Stray w/identification",E306+11,B306="Bite",E306+10,B306="Other",Blank)</f>
        <v>45766</v>
      </c>
      <c r="G306" s="2">
        <v>45770</v>
      </c>
      <c r="H306" s="6">
        <f t="shared" si="15"/>
        <v>4</v>
      </c>
      <c r="I306" s="6">
        <f t="shared" si="14"/>
        <v>4</v>
      </c>
      <c r="J306" s="2" t="s">
        <v>31</v>
      </c>
      <c r="L306" t="s">
        <v>366</v>
      </c>
    </row>
    <row r="307" spans="1:12" x14ac:dyDescent="0.25">
      <c r="A307" s="1">
        <v>40164</v>
      </c>
      <c r="B307" s="2" t="s">
        <v>38</v>
      </c>
      <c r="C307" t="s">
        <v>10</v>
      </c>
      <c r="D307" t="s">
        <v>209</v>
      </c>
      <c r="E307" s="2">
        <v>45766</v>
      </c>
      <c r="F307" s="2" cm="1">
        <f t="array" ref="F307">_xlfn.IFS(B307="Owner Surrender",E307,B307="Stray",E307+6,B307="Stray w/identification",E307+11,B307="Bite",E307+10,B307="Other",Blank)</f>
        <v>45772</v>
      </c>
      <c r="G307" s="2">
        <v>45787</v>
      </c>
      <c r="H307" s="6">
        <f t="shared" si="15"/>
        <v>21</v>
      </c>
      <c r="I307" s="6">
        <f t="shared" si="14"/>
        <v>15</v>
      </c>
      <c r="J307" s="2" t="s">
        <v>11</v>
      </c>
    </row>
    <row r="308" spans="1:12" x14ac:dyDescent="0.25">
      <c r="A308" s="1">
        <v>40165</v>
      </c>
      <c r="B308" s="2" t="s">
        <v>38</v>
      </c>
      <c r="C308" t="s">
        <v>7</v>
      </c>
      <c r="D308" t="s">
        <v>208</v>
      </c>
      <c r="E308" s="2">
        <v>45766</v>
      </c>
      <c r="F308" s="2" cm="1">
        <f t="array" ref="F308">_xlfn.IFS(B308="Owner Surrender",E308,B308="Stray",E308+6,B308="Stray w/identification",E308+11,B308="Bite",E308+10,B308="Other",Blank)</f>
        <v>45772</v>
      </c>
      <c r="G308" s="2">
        <v>45772</v>
      </c>
      <c r="H308" s="6">
        <f t="shared" si="15"/>
        <v>6</v>
      </c>
      <c r="I308" s="6">
        <f t="shared" si="14"/>
        <v>0</v>
      </c>
      <c r="J308" s="2" t="s">
        <v>31</v>
      </c>
    </row>
    <row r="309" spans="1:12" x14ac:dyDescent="0.25">
      <c r="A309" s="1">
        <v>40166</v>
      </c>
      <c r="B309" s="2" t="s">
        <v>36</v>
      </c>
      <c r="C309" t="s">
        <v>7</v>
      </c>
      <c r="D309" t="s">
        <v>209</v>
      </c>
      <c r="E309" s="2">
        <v>45766</v>
      </c>
      <c r="F309" s="2" cm="1">
        <f t="array" ref="F309">_xlfn.IFS(B309="Owner Surrender",E309,B309="Stray",E309+6,B309="Stray w/identification",E309+11,B309="Bite",E309+10,B309="Other",Blank)</f>
        <v>45766</v>
      </c>
      <c r="G309" s="2">
        <v>45766</v>
      </c>
      <c r="H309" s="6">
        <f t="shared" si="15"/>
        <v>0</v>
      </c>
      <c r="I309" s="6">
        <f t="shared" si="14"/>
        <v>0</v>
      </c>
      <c r="J309" s="2" t="s">
        <v>31</v>
      </c>
      <c r="L309" t="s">
        <v>124</v>
      </c>
    </row>
    <row r="310" spans="1:12" x14ac:dyDescent="0.25">
      <c r="A310" s="1">
        <v>40173</v>
      </c>
      <c r="B310" s="2" t="s">
        <v>38</v>
      </c>
      <c r="C310" t="s">
        <v>7</v>
      </c>
      <c r="D310" t="s">
        <v>208</v>
      </c>
      <c r="E310" s="2">
        <v>45767</v>
      </c>
      <c r="F310" s="2" cm="1">
        <f t="array" ref="F310">_xlfn.IFS(B310="Owner Surrender",E310,B310="Stray",E310+6,B310="Stray w/identification",E310+11,B310="Bite",E310+10,B310="Other",Blank)</f>
        <v>45773</v>
      </c>
      <c r="G310" s="2">
        <v>45776</v>
      </c>
      <c r="H310" s="6">
        <f t="shared" si="15"/>
        <v>9</v>
      </c>
      <c r="I310" s="6">
        <f t="shared" si="14"/>
        <v>3</v>
      </c>
      <c r="J310" s="2" t="s">
        <v>31</v>
      </c>
      <c r="K310" t="s">
        <v>365</v>
      </c>
    </row>
    <row r="311" spans="1:12" x14ac:dyDescent="0.25">
      <c r="A311" s="1">
        <v>40174</v>
      </c>
      <c r="B311" s="2" t="s">
        <v>38</v>
      </c>
      <c r="C311" t="s">
        <v>15</v>
      </c>
      <c r="D311" t="s">
        <v>208</v>
      </c>
      <c r="E311" s="2">
        <v>45767</v>
      </c>
      <c r="F311" s="2" cm="1">
        <f t="array" ref="F311">_xlfn.IFS(B311="Owner Surrender",E311,B311="Stray",E311+6,B311="Stray w/identification",E311+11,B311="Bite",E311+10,B311="Other",Blank)</f>
        <v>45773</v>
      </c>
      <c r="G311" s="2">
        <v>45804</v>
      </c>
      <c r="H311" s="6">
        <f t="shared" si="15"/>
        <v>37</v>
      </c>
      <c r="I311" s="6">
        <f t="shared" si="14"/>
        <v>31</v>
      </c>
      <c r="J311" s="2" t="s">
        <v>18</v>
      </c>
    </row>
    <row r="312" spans="1:12" x14ac:dyDescent="0.25">
      <c r="A312" s="1">
        <v>40175</v>
      </c>
      <c r="B312" s="2" t="s">
        <v>38</v>
      </c>
      <c r="C312" t="s">
        <v>7</v>
      </c>
      <c r="D312" t="s">
        <v>208</v>
      </c>
      <c r="E312" s="2">
        <v>45767</v>
      </c>
      <c r="F312" s="2" cm="1">
        <f t="array" ref="F312">_xlfn.IFS(B312="Owner Surrender",E312,B312="Stray",E312+6,B312="Stray w/identification",E312+11,B312="Bite",E312+10,B312="Other",Blank)</f>
        <v>45773</v>
      </c>
      <c r="G312" s="2">
        <v>45779</v>
      </c>
      <c r="H312" s="6">
        <f t="shared" si="15"/>
        <v>12</v>
      </c>
      <c r="I312" s="6">
        <f t="shared" si="14"/>
        <v>6</v>
      </c>
      <c r="J312" s="2" t="s">
        <v>31</v>
      </c>
      <c r="K312" t="s">
        <v>364</v>
      </c>
    </row>
    <row r="313" spans="1:12" x14ac:dyDescent="0.25">
      <c r="A313" s="1">
        <v>40176</v>
      </c>
      <c r="B313" s="2" t="s">
        <v>180</v>
      </c>
      <c r="C313" t="s">
        <v>7</v>
      </c>
      <c r="D313" t="s">
        <v>208</v>
      </c>
      <c r="E313" s="2">
        <v>45767</v>
      </c>
      <c r="F313" s="2" cm="1">
        <f t="array" ref="F313">_xlfn.IFS(B313="Owner Surrender",E313,B313="Stray",E313+6,B313="Stray w/identification",E313+11,B313="Bite",E313+10,B313="Other",Blank)</f>
        <v>45778</v>
      </c>
      <c r="G313" s="2">
        <v>45769</v>
      </c>
      <c r="H313" s="6">
        <f t="shared" si="15"/>
        <v>2</v>
      </c>
      <c r="I313" s="6">
        <f t="shared" si="14"/>
        <v>-9</v>
      </c>
      <c r="J313" s="2" t="s">
        <v>8</v>
      </c>
      <c r="K313" t="s">
        <v>363</v>
      </c>
    </row>
    <row r="314" spans="1:12" x14ac:dyDescent="0.25">
      <c r="A314" s="1">
        <v>40178</v>
      </c>
      <c r="B314" s="2" t="s">
        <v>36</v>
      </c>
      <c r="C314" t="s">
        <v>15</v>
      </c>
      <c r="D314" t="s">
        <v>208</v>
      </c>
      <c r="E314" s="2">
        <v>45768</v>
      </c>
      <c r="F314" s="2" cm="1">
        <f t="array" ref="F314">_xlfn.IFS(B314="Owner Surrender",E314,B314="Stray",E314+6,B314="Stray w/identification",E314+11,B314="Bite",E314+10,B314="Other",Blank)</f>
        <v>45768</v>
      </c>
      <c r="G314" s="2">
        <v>45779</v>
      </c>
      <c r="H314" s="6">
        <f t="shared" si="15"/>
        <v>11</v>
      </c>
      <c r="I314" s="6">
        <f t="shared" si="14"/>
        <v>11</v>
      </c>
      <c r="J314" s="2" t="s">
        <v>31</v>
      </c>
      <c r="K314" t="s">
        <v>380</v>
      </c>
    </row>
    <row r="315" spans="1:12" x14ac:dyDescent="0.25">
      <c r="A315" s="1">
        <v>40179</v>
      </c>
      <c r="B315" s="2" t="s">
        <v>36</v>
      </c>
      <c r="C315" t="s">
        <v>7</v>
      </c>
      <c r="D315" t="s">
        <v>208</v>
      </c>
      <c r="E315" s="2">
        <v>45768</v>
      </c>
      <c r="F315" s="2" cm="1">
        <f t="array" ref="F315">_xlfn.IFS(B315="Owner Surrender",E315,B315="Stray",E315+6,B315="Stray w/identification",E315+11,B315="Bite",E315+10,B315="Other",Blank)</f>
        <v>45768</v>
      </c>
      <c r="G315" s="2">
        <v>45770</v>
      </c>
      <c r="H315" s="6">
        <f t="shared" si="15"/>
        <v>2</v>
      </c>
      <c r="I315" s="6">
        <f t="shared" si="14"/>
        <v>2</v>
      </c>
      <c r="J315" s="2" t="s">
        <v>31</v>
      </c>
      <c r="K315" t="s">
        <v>379</v>
      </c>
    </row>
    <row r="316" spans="1:12" x14ac:dyDescent="0.25">
      <c r="A316" s="1">
        <v>40181</v>
      </c>
      <c r="B316" s="2" t="s">
        <v>38</v>
      </c>
      <c r="C316" t="s">
        <v>7</v>
      </c>
      <c r="D316" t="s">
        <v>208</v>
      </c>
      <c r="E316" s="2">
        <v>45766</v>
      </c>
      <c r="F316" s="2" cm="1">
        <f t="array" ref="F316">_xlfn.IFS(B316="Owner Surrender",E316,B316="Stray",E316+6,B316="Stray w/identification",E316+11,B316="Bite",E316+10,B316="Other",Blank)</f>
        <v>45772</v>
      </c>
      <c r="G316" s="2">
        <v>45773</v>
      </c>
      <c r="H316" s="6">
        <f t="shared" si="15"/>
        <v>7</v>
      </c>
      <c r="I316" s="6">
        <f t="shared" si="14"/>
        <v>1</v>
      </c>
      <c r="J316" s="2" t="s">
        <v>31</v>
      </c>
    </row>
    <row r="317" spans="1:12" x14ac:dyDescent="0.25">
      <c r="A317" s="1">
        <v>40182</v>
      </c>
      <c r="B317" s="2" t="s">
        <v>61</v>
      </c>
      <c r="C317" t="s">
        <v>7</v>
      </c>
      <c r="D317" t="s">
        <v>209</v>
      </c>
      <c r="E317" s="2">
        <v>45769</v>
      </c>
      <c r="F317" s="2" t="e" cm="1">
        <f t="array" ref="F317">_xlfn.IFS(B317="Owner Surrender",E317,B317="Stray",E317+6,B317="Stray w/identification",E317+11,B317="Bite",E317+10,B317="Other",Blank)</f>
        <v>#NAME?</v>
      </c>
      <c r="G317" s="2">
        <v>45787</v>
      </c>
      <c r="H317" s="6">
        <f t="shared" si="15"/>
        <v>18</v>
      </c>
      <c r="I317" s="6" t="e">
        <f t="shared" si="14"/>
        <v>#NAME?</v>
      </c>
      <c r="J317" s="2" t="s">
        <v>28</v>
      </c>
      <c r="L317" t="s">
        <v>41</v>
      </c>
    </row>
    <row r="318" spans="1:12" x14ac:dyDescent="0.25">
      <c r="A318" s="1">
        <v>40183</v>
      </c>
      <c r="B318" s="2" t="s">
        <v>61</v>
      </c>
      <c r="C318" t="s">
        <v>7</v>
      </c>
      <c r="D318" t="s">
        <v>209</v>
      </c>
      <c r="E318" s="2">
        <v>45769</v>
      </c>
      <c r="F318" s="2" t="e" cm="1">
        <f t="array" ref="F318">_xlfn.IFS(B318="Owner Surrender",E318,B318="Stray",E318+6,B318="Stray w/identification",E318+11,B318="Bite",E318+10,B318="Other",Blank)</f>
        <v>#NAME?</v>
      </c>
      <c r="G318" s="2">
        <v>45789</v>
      </c>
      <c r="H318" s="6">
        <f t="shared" si="15"/>
        <v>20</v>
      </c>
      <c r="I318" s="6" t="e">
        <f t="shared" si="14"/>
        <v>#NAME?</v>
      </c>
      <c r="J318" s="2" t="s">
        <v>31</v>
      </c>
      <c r="L318" t="s">
        <v>41</v>
      </c>
    </row>
    <row r="319" spans="1:12" x14ac:dyDescent="0.25">
      <c r="A319" s="1">
        <v>40184</v>
      </c>
      <c r="B319" s="2" t="s">
        <v>61</v>
      </c>
      <c r="C319" t="s">
        <v>7</v>
      </c>
      <c r="D319" t="s">
        <v>209</v>
      </c>
      <c r="E319" s="2">
        <v>45769</v>
      </c>
      <c r="F319" s="2" t="e" cm="1">
        <f t="array" ref="F319">_xlfn.IFS(B319="Owner Surrender",E319,B319="Stray",E319+6,B319="Stray w/identification",E319+11,B319="Bite",E319+10,B319="Other",Blank)</f>
        <v>#NAME?</v>
      </c>
      <c r="G319" s="2">
        <v>45791</v>
      </c>
      <c r="H319" s="6">
        <f t="shared" si="15"/>
        <v>22</v>
      </c>
      <c r="I319" s="6" t="e">
        <f t="shared" si="14"/>
        <v>#NAME?</v>
      </c>
      <c r="J319" s="2" t="s">
        <v>18</v>
      </c>
      <c r="L319" t="s">
        <v>41</v>
      </c>
    </row>
    <row r="320" spans="1:12" x14ac:dyDescent="0.25">
      <c r="A320" s="1">
        <v>40185</v>
      </c>
      <c r="B320" s="2" t="s">
        <v>61</v>
      </c>
      <c r="C320" t="s">
        <v>7</v>
      </c>
      <c r="D320" t="s">
        <v>209</v>
      </c>
      <c r="E320" s="2">
        <v>45769</v>
      </c>
      <c r="F320" s="2" t="e" cm="1">
        <f t="array" ref="F320">_xlfn.IFS(B320="Owner Surrender",E320,B320="Stray",E320+6,B320="Stray w/identification",E320+11,B320="Bite",E320+10,B320="Other",Blank)</f>
        <v>#NAME?</v>
      </c>
      <c r="G320" s="2">
        <v>45791</v>
      </c>
      <c r="H320" s="6">
        <f t="shared" si="15"/>
        <v>22</v>
      </c>
      <c r="I320" s="6" t="e">
        <f t="shared" si="14"/>
        <v>#NAME?</v>
      </c>
      <c r="J320" s="2" t="s">
        <v>18</v>
      </c>
      <c r="L320" t="s">
        <v>41</v>
      </c>
    </row>
    <row r="321" spans="1:12" x14ac:dyDescent="0.25">
      <c r="A321" s="1">
        <v>40186</v>
      </c>
      <c r="B321" s="2" t="s">
        <v>36</v>
      </c>
      <c r="C321" t="s">
        <v>7</v>
      </c>
      <c r="D321" t="s">
        <v>208</v>
      </c>
      <c r="E321" s="2">
        <v>45768</v>
      </c>
      <c r="F321" s="2" cm="1">
        <f t="array" ref="F321">_xlfn.IFS(B321="Owner Surrender",E321,B321="Stray",E321+6,B321="Stray w/identification",E321+11,B321="Bite",E321+10,B321="Other",Blank)</f>
        <v>45768</v>
      </c>
      <c r="G321" s="2">
        <v>45770</v>
      </c>
      <c r="H321" s="6">
        <f t="shared" si="15"/>
        <v>2</v>
      </c>
      <c r="I321" s="6">
        <f t="shared" si="14"/>
        <v>2</v>
      </c>
      <c r="J321" s="2" t="s">
        <v>31</v>
      </c>
      <c r="K321" t="s">
        <v>378</v>
      </c>
    </row>
    <row r="322" spans="1:12" x14ac:dyDescent="0.25">
      <c r="A322" s="1">
        <v>40187</v>
      </c>
      <c r="B322" s="2" t="s">
        <v>36</v>
      </c>
      <c r="C322" t="s">
        <v>7</v>
      </c>
      <c r="D322" t="s">
        <v>208</v>
      </c>
      <c r="E322" s="2">
        <v>45768</v>
      </c>
      <c r="F322" s="2" cm="1">
        <f t="array" ref="F322">_xlfn.IFS(B322="Owner Surrender",E322,B322="Stray",E322+6,B322="Stray w/identification",E322+11,B322="Bite",E322+10,B322="Other",Blank)</f>
        <v>45768</v>
      </c>
      <c r="G322" s="2">
        <v>45770</v>
      </c>
      <c r="H322" s="6">
        <f t="shared" si="15"/>
        <v>2</v>
      </c>
      <c r="I322" s="6">
        <f t="shared" si="14"/>
        <v>2</v>
      </c>
      <c r="J322" s="2" t="s">
        <v>31</v>
      </c>
    </row>
    <row r="323" spans="1:12" x14ac:dyDescent="0.25">
      <c r="A323" s="1">
        <v>40189</v>
      </c>
      <c r="B323" s="2" t="s">
        <v>36</v>
      </c>
      <c r="C323" t="s">
        <v>7</v>
      </c>
      <c r="D323" t="s">
        <v>208</v>
      </c>
      <c r="E323" s="2">
        <v>45769</v>
      </c>
      <c r="F323" s="2" cm="1">
        <f t="array" ref="F323">_xlfn.IFS(B323="Owner Surrender",E323,B323="Stray",E323+6,B323="Stray w/identification",E323+11,B323="Bite",E323+10,B323="Other",Blank)</f>
        <v>45769</v>
      </c>
      <c r="G323" s="2">
        <v>45770</v>
      </c>
      <c r="H323" s="6">
        <f t="shared" si="15"/>
        <v>1</v>
      </c>
      <c r="I323" s="6">
        <f t="shared" si="14"/>
        <v>1</v>
      </c>
      <c r="J323" s="2" t="s">
        <v>31</v>
      </c>
    </row>
    <row r="324" spans="1:12" x14ac:dyDescent="0.25">
      <c r="A324" s="1">
        <v>40190</v>
      </c>
      <c r="B324" s="2" t="s">
        <v>36</v>
      </c>
      <c r="C324" t="s">
        <v>7</v>
      </c>
      <c r="D324" t="s">
        <v>209</v>
      </c>
      <c r="E324" s="2">
        <v>45769</v>
      </c>
      <c r="F324" s="2" cm="1">
        <f t="array" ref="F324">_xlfn.IFS(B324="Owner Surrender",E324,B324="Stray",E324+6,B324="Stray w/identification",E324+11,B324="Bite",E324+10,B324="Other",Blank)</f>
        <v>45769</v>
      </c>
      <c r="G324" s="2">
        <v>45770</v>
      </c>
      <c r="H324" s="6">
        <f t="shared" si="15"/>
        <v>1</v>
      </c>
      <c r="I324" s="6">
        <f t="shared" si="14"/>
        <v>1</v>
      </c>
      <c r="J324" s="2" t="s">
        <v>31</v>
      </c>
    </row>
    <row r="325" spans="1:12" x14ac:dyDescent="0.25">
      <c r="A325" s="1">
        <v>40191</v>
      </c>
      <c r="B325" s="2" t="s">
        <v>36</v>
      </c>
      <c r="C325" t="s">
        <v>7</v>
      </c>
      <c r="D325" t="s">
        <v>209</v>
      </c>
      <c r="E325" s="2">
        <v>45769</v>
      </c>
      <c r="F325" s="2" cm="1">
        <f t="array" ref="F325">_xlfn.IFS(B325="Owner Surrender",E325,B325="Stray",E325+6,B325="Stray w/identification",E325+11,B325="Bite",E325+10,B325="Other",Blank)</f>
        <v>45769</v>
      </c>
      <c r="G325" s="2">
        <v>45770</v>
      </c>
      <c r="H325" s="6">
        <f t="shared" si="15"/>
        <v>1</v>
      </c>
      <c r="I325" s="6">
        <f t="shared" si="14"/>
        <v>1</v>
      </c>
      <c r="J325" s="2" t="s">
        <v>31</v>
      </c>
    </row>
    <row r="326" spans="1:12" x14ac:dyDescent="0.25">
      <c r="A326" s="1">
        <v>40192</v>
      </c>
      <c r="B326" s="2" t="s">
        <v>36</v>
      </c>
      <c r="C326" t="s">
        <v>7</v>
      </c>
      <c r="D326" t="s">
        <v>209</v>
      </c>
      <c r="E326" s="2">
        <v>45769</v>
      </c>
      <c r="F326" s="2" cm="1">
        <f t="array" ref="F326">_xlfn.IFS(B326="Owner Surrender",E326,B326="Stray",E326+6,B326="Stray w/identification",E326+11,B326="Bite",E326+10,B326="Other",Blank)</f>
        <v>45769</v>
      </c>
      <c r="G326" s="2">
        <v>45770</v>
      </c>
      <c r="H326" s="6">
        <f t="shared" si="15"/>
        <v>1</v>
      </c>
      <c r="I326" s="6">
        <f t="shared" si="14"/>
        <v>1</v>
      </c>
      <c r="J326" s="2" t="s">
        <v>31</v>
      </c>
    </row>
    <row r="327" spans="1:12" x14ac:dyDescent="0.25">
      <c r="A327" s="1">
        <v>40193</v>
      </c>
      <c r="B327" s="2" t="s">
        <v>36</v>
      </c>
      <c r="C327" t="s">
        <v>7</v>
      </c>
      <c r="D327" t="s">
        <v>209</v>
      </c>
      <c r="E327" s="2">
        <v>45769</v>
      </c>
      <c r="F327" s="2" cm="1">
        <f t="array" ref="F327">_xlfn.IFS(B327="Owner Surrender",E327,B327="Stray",E327+6,B327="Stray w/identification",E327+11,B327="Bite",E327+10,B327="Other",Blank)</f>
        <v>45769</v>
      </c>
      <c r="G327" s="2">
        <v>45770</v>
      </c>
      <c r="H327" s="6">
        <f t="shared" si="15"/>
        <v>1</v>
      </c>
      <c r="I327" s="6">
        <f t="shared" si="14"/>
        <v>1</v>
      </c>
      <c r="J327" s="2" t="s">
        <v>31</v>
      </c>
    </row>
    <row r="328" spans="1:12" x14ac:dyDescent="0.25">
      <c r="A328" s="1">
        <v>40196</v>
      </c>
      <c r="B328" s="2" t="s">
        <v>36</v>
      </c>
      <c r="C328" t="s">
        <v>7</v>
      </c>
      <c r="D328" t="s">
        <v>209</v>
      </c>
      <c r="E328" s="2">
        <v>45769</v>
      </c>
      <c r="F328" s="2" cm="1">
        <f t="array" ref="F328">_xlfn.IFS(B328="Owner Surrender",E328,B328="Stray",E328+6,B328="Stray w/identification",E328+11,B328="Bite",E328+10,B328="Other",Blank)</f>
        <v>45769</v>
      </c>
      <c r="G328" s="2">
        <v>45770</v>
      </c>
      <c r="H328" s="6">
        <f t="shared" si="15"/>
        <v>1</v>
      </c>
      <c r="I328" s="6">
        <f t="shared" si="14"/>
        <v>1</v>
      </c>
      <c r="J328" s="2" t="s">
        <v>31</v>
      </c>
    </row>
    <row r="329" spans="1:12" x14ac:dyDescent="0.25">
      <c r="A329" s="1">
        <v>40197</v>
      </c>
      <c r="B329" s="2" t="s">
        <v>36</v>
      </c>
      <c r="C329" t="s">
        <v>7</v>
      </c>
      <c r="D329" t="s">
        <v>209</v>
      </c>
      <c r="E329" s="2">
        <v>45769</v>
      </c>
      <c r="F329" s="2" cm="1">
        <f t="array" ref="F329">_xlfn.IFS(B329="Owner Surrender",E329,B329="Stray",E329+6,B329="Stray w/identification",E329+11,B329="Bite",E329+10,B329="Other",Blank)</f>
        <v>45769</v>
      </c>
      <c r="G329" s="2">
        <v>45770</v>
      </c>
      <c r="H329" s="6">
        <f t="shared" si="15"/>
        <v>1</v>
      </c>
      <c r="I329" s="6">
        <f t="shared" si="14"/>
        <v>1</v>
      </c>
      <c r="J329" s="2" t="s">
        <v>31</v>
      </c>
    </row>
    <row r="330" spans="1:12" x14ac:dyDescent="0.25">
      <c r="A330" s="1">
        <v>40201</v>
      </c>
      <c r="B330" s="2" t="s">
        <v>36</v>
      </c>
      <c r="C330" t="s">
        <v>7</v>
      </c>
      <c r="D330" t="s">
        <v>208</v>
      </c>
      <c r="E330" s="2">
        <v>45769</v>
      </c>
      <c r="F330" s="2" cm="1">
        <f t="array" ref="F330">_xlfn.IFS(B330="Owner Surrender",E330,B330="Stray",E330+6,B330="Stray w/identification",E330+11,B330="Bite",E330+10,B330="Other",Blank)</f>
        <v>45769</v>
      </c>
      <c r="G330" s="2">
        <v>45784</v>
      </c>
      <c r="H330" s="6">
        <f t="shared" si="15"/>
        <v>15</v>
      </c>
      <c r="I330" s="6">
        <f t="shared" si="14"/>
        <v>15</v>
      </c>
      <c r="J330" s="2" t="s">
        <v>31</v>
      </c>
    </row>
    <row r="331" spans="1:12" x14ac:dyDescent="0.25">
      <c r="A331" s="1">
        <v>40202</v>
      </c>
      <c r="B331" s="2" t="s">
        <v>36</v>
      </c>
      <c r="C331" t="s">
        <v>7</v>
      </c>
      <c r="D331" t="s">
        <v>209</v>
      </c>
      <c r="E331" s="2">
        <v>45769</v>
      </c>
      <c r="F331" s="2" cm="1">
        <f t="array" ref="F331">_xlfn.IFS(B331="Owner Surrender",E331,B331="Stray",E331+6,B331="Stray w/identification",E331+11,B331="Bite",E331+10,B331="Other",Blank)</f>
        <v>45769</v>
      </c>
      <c r="G331" s="2">
        <v>45784</v>
      </c>
      <c r="H331" s="6">
        <f t="shared" si="15"/>
        <v>15</v>
      </c>
      <c r="I331" s="6">
        <f t="shared" si="14"/>
        <v>15</v>
      </c>
      <c r="J331" s="2" t="s">
        <v>31</v>
      </c>
      <c r="L331" t="s">
        <v>33</v>
      </c>
    </row>
    <row r="332" spans="1:12" x14ac:dyDescent="0.25">
      <c r="A332" s="1">
        <v>40203</v>
      </c>
      <c r="B332" s="2" t="s">
        <v>36</v>
      </c>
      <c r="C332" t="s">
        <v>7</v>
      </c>
      <c r="D332" t="s">
        <v>209</v>
      </c>
      <c r="E332" s="2">
        <v>45769</v>
      </c>
      <c r="F332" s="2" cm="1">
        <f t="array" ref="F332">_xlfn.IFS(B332="Owner Surrender",E332,B332="Stray",E332+6,B332="Stray w/identification",E332+11,B332="Bite",E332+10,B332="Other",Blank)</f>
        <v>45769</v>
      </c>
      <c r="G332" s="2">
        <v>45784</v>
      </c>
      <c r="H332" s="6">
        <f t="shared" si="15"/>
        <v>15</v>
      </c>
      <c r="I332" s="6">
        <f t="shared" si="14"/>
        <v>15</v>
      </c>
      <c r="J332" s="2" t="s">
        <v>31</v>
      </c>
      <c r="L332" t="s">
        <v>33</v>
      </c>
    </row>
    <row r="333" spans="1:12" x14ac:dyDescent="0.25">
      <c r="A333" s="1">
        <v>40204</v>
      </c>
      <c r="B333" s="2" t="s">
        <v>36</v>
      </c>
      <c r="C333" t="s">
        <v>7</v>
      </c>
      <c r="D333" t="s">
        <v>209</v>
      </c>
      <c r="E333" s="2">
        <v>45769</v>
      </c>
      <c r="F333" s="2" cm="1">
        <f t="array" ref="F333">_xlfn.IFS(B333="Owner Surrender",E333,B333="Stray",E333+6,B333="Stray w/identification",E333+11,B333="Bite",E333+10,B333="Other",Blank)</f>
        <v>45769</v>
      </c>
      <c r="G333" s="2">
        <v>45784</v>
      </c>
      <c r="H333" s="6">
        <f t="shared" si="15"/>
        <v>15</v>
      </c>
      <c r="I333" s="6">
        <f t="shared" si="14"/>
        <v>15</v>
      </c>
      <c r="J333" s="2" t="s">
        <v>31</v>
      </c>
      <c r="L333" t="s">
        <v>33</v>
      </c>
    </row>
    <row r="334" spans="1:12" x14ac:dyDescent="0.25">
      <c r="A334" s="1">
        <v>40205</v>
      </c>
      <c r="B334" s="2" t="s">
        <v>36</v>
      </c>
      <c r="C334" t="s">
        <v>7</v>
      </c>
      <c r="D334" t="s">
        <v>209</v>
      </c>
      <c r="E334" s="2">
        <v>45769</v>
      </c>
      <c r="F334" s="2" cm="1">
        <f t="array" ref="F334">_xlfn.IFS(B334="Owner Surrender",E334,B334="Stray",E334+6,B334="Stray w/identification",E334+11,B334="Bite",E334+10,B334="Other",Blank)</f>
        <v>45769</v>
      </c>
      <c r="G334" s="2">
        <v>45784</v>
      </c>
      <c r="H334" s="6">
        <f t="shared" si="15"/>
        <v>15</v>
      </c>
      <c r="I334" s="6">
        <f t="shared" si="14"/>
        <v>15</v>
      </c>
      <c r="J334" s="2" t="s">
        <v>31</v>
      </c>
      <c r="L334" t="s">
        <v>33</v>
      </c>
    </row>
    <row r="335" spans="1:12" x14ac:dyDescent="0.25">
      <c r="A335" s="1">
        <v>40206</v>
      </c>
      <c r="B335" s="2" t="s">
        <v>36</v>
      </c>
      <c r="C335" t="s">
        <v>7</v>
      </c>
      <c r="D335" t="s">
        <v>209</v>
      </c>
      <c r="E335" s="2">
        <v>45769</v>
      </c>
      <c r="F335" s="2" cm="1">
        <f t="array" ref="F335">_xlfn.IFS(B335="Owner Surrender",E335,B335="Stray",E335+6,B335="Stray w/identification",E335+11,B335="Bite",E335+10,B335="Other",Blank)</f>
        <v>45769</v>
      </c>
      <c r="G335" s="2">
        <v>45784</v>
      </c>
      <c r="H335" s="6">
        <f t="shared" si="15"/>
        <v>15</v>
      </c>
      <c r="I335" s="6">
        <f t="shared" si="14"/>
        <v>15</v>
      </c>
      <c r="J335" s="2" t="s">
        <v>31</v>
      </c>
      <c r="L335" t="s">
        <v>33</v>
      </c>
    </row>
    <row r="336" spans="1:12" x14ac:dyDescent="0.25">
      <c r="A336" s="1">
        <v>40207</v>
      </c>
      <c r="B336" s="2" t="s">
        <v>36</v>
      </c>
      <c r="C336" t="s">
        <v>7</v>
      </c>
      <c r="D336" t="s">
        <v>209</v>
      </c>
      <c r="E336" s="2">
        <v>45769</v>
      </c>
      <c r="F336" s="2" cm="1">
        <f t="array" ref="F336">_xlfn.IFS(B336="Owner Surrender",E336,B336="Stray",E336+6,B336="Stray w/identification",E336+11,B336="Bite",E336+10,B336="Other",Blank)</f>
        <v>45769</v>
      </c>
      <c r="G336" s="2">
        <v>45784</v>
      </c>
      <c r="H336" s="6">
        <f t="shared" si="15"/>
        <v>15</v>
      </c>
      <c r="I336" s="6">
        <f t="shared" si="14"/>
        <v>15</v>
      </c>
      <c r="J336" s="2" t="s">
        <v>31</v>
      </c>
      <c r="K336" t="s">
        <v>377</v>
      </c>
      <c r="L336" t="s">
        <v>33</v>
      </c>
    </row>
    <row r="337" spans="1:12" x14ac:dyDescent="0.25">
      <c r="A337" s="1">
        <v>40208</v>
      </c>
      <c r="B337" s="2" t="s">
        <v>36</v>
      </c>
      <c r="C337" t="s">
        <v>7</v>
      </c>
      <c r="D337" t="s">
        <v>208</v>
      </c>
      <c r="E337" s="2">
        <v>45768</v>
      </c>
      <c r="F337" s="2" cm="1">
        <f t="array" ref="F337">_xlfn.IFS(B337="Owner Surrender",E337,B337="Stray",E337+6,B337="Stray w/identification",E337+11,B337="Bite",E337+10,B337="Other",Blank)</f>
        <v>45768</v>
      </c>
      <c r="G337" s="2">
        <v>45784</v>
      </c>
      <c r="H337" s="6">
        <f t="shared" si="15"/>
        <v>16</v>
      </c>
      <c r="I337" s="6">
        <f t="shared" si="14"/>
        <v>16</v>
      </c>
      <c r="J337" s="2" t="s">
        <v>31</v>
      </c>
    </row>
    <row r="338" spans="1:12" x14ac:dyDescent="0.25">
      <c r="A338" s="1">
        <v>40213</v>
      </c>
      <c r="B338" s="2" t="s">
        <v>38</v>
      </c>
      <c r="C338" t="s">
        <v>7</v>
      </c>
      <c r="D338" t="s">
        <v>208</v>
      </c>
      <c r="E338" s="2">
        <v>45770</v>
      </c>
      <c r="F338" s="2" cm="1">
        <f t="array" ref="F338">_xlfn.IFS(B338="Owner Surrender",E338,B338="Stray",E338+6,B338="Stray w/identification",E338+11,B338="Bite",E338+10,B338="Other",Blank)</f>
        <v>45776</v>
      </c>
      <c r="G338" s="2">
        <v>45776</v>
      </c>
      <c r="H338" s="6">
        <f t="shared" si="15"/>
        <v>6</v>
      </c>
      <c r="I338" s="6">
        <f t="shared" si="14"/>
        <v>0</v>
      </c>
      <c r="J338" s="2" t="s">
        <v>31</v>
      </c>
      <c r="L338" t="s">
        <v>34</v>
      </c>
    </row>
    <row r="339" spans="1:12" x14ac:dyDescent="0.25">
      <c r="A339" s="1">
        <v>40214</v>
      </c>
      <c r="B339" s="2" t="s">
        <v>38</v>
      </c>
      <c r="C339" t="s">
        <v>7</v>
      </c>
      <c r="D339" t="s">
        <v>209</v>
      </c>
      <c r="E339" s="2">
        <v>45770</v>
      </c>
      <c r="F339" s="2" cm="1">
        <f t="array" ref="F339">_xlfn.IFS(B339="Owner Surrender",E339,B339="Stray",E339+6,B339="Stray w/identification",E339+11,B339="Bite",E339+10,B339="Other",Blank)</f>
        <v>45776</v>
      </c>
      <c r="G339" s="2">
        <v>45779</v>
      </c>
      <c r="H339" s="6">
        <f t="shared" si="15"/>
        <v>9</v>
      </c>
      <c r="I339" s="6">
        <f t="shared" si="14"/>
        <v>3</v>
      </c>
      <c r="J339" s="2" t="s">
        <v>31</v>
      </c>
    </row>
    <row r="340" spans="1:12" x14ac:dyDescent="0.25">
      <c r="A340" s="1">
        <v>40215</v>
      </c>
      <c r="B340" s="2" t="s">
        <v>38</v>
      </c>
      <c r="C340" t="s">
        <v>7</v>
      </c>
      <c r="D340" t="s">
        <v>209</v>
      </c>
      <c r="E340" s="2">
        <v>45770</v>
      </c>
      <c r="F340" s="2" cm="1">
        <f t="array" ref="F340">_xlfn.IFS(B340="Owner Surrender",E340,B340="Stray",E340+6,B340="Stray w/identification",E340+11,B340="Bite",E340+10,B340="Other",Blank)</f>
        <v>45776</v>
      </c>
      <c r="G340" s="2">
        <v>45779</v>
      </c>
      <c r="H340" s="6">
        <f t="shared" si="15"/>
        <v>9</v>
      </c>
      <c r="I340" s="6">
        <f t="shared" si="14"/>
        <v>3</v>
      </c>
      <c r="J340" s="2" t="s">
        <v>31</v>
      </c>
    </row>
    <row r="341" spans="1:12" x14ac:dyDescent="0.25">
      <c r="A341" s="1">
        <v>40216</v>
      </c>
      <c r="B341" s="2" t="s">
        <v>38</v>
      </c>
      <c r="C341" t="s">
        <v>7</v>
      </c>
      <c r="D341" t="s">
        <v>209</v>
      </c>
      <c r="E341" s="2">
        <v>45770</v>
      </c>
      <c r="F341" s="2" cm="1">
        <f t="array" ref="F341">_xlfn.IFS(B341="Owner Surrender",E341,B341="Stray",E341+6,B341="Stray w/identification",E341+11,B341="Bite",E341+10,B341="Other",Blank)</f>
        <v>45776</v>
      </c>
      <c r="G341" s="2">
        <v>45779</v>
      </c>
      <c r="H341" s="6">
        <f t="shared" si="15"/>
        <v>9</v>
      </c>
      <c r="I341" s="6">
        <f t="shared" si="14"/>
        <v>3</v>
      </c>
      <c r="J341" s="2" t="s">
        <v>31</v>
      </c>
    </row>
    <row r="342" spans="1:12" x14ac:dyDescent="0.25">
      <c r="A342" s="1">
        <v>40217</v>
      </c>
      <c r="B342" s="2" t="s">
        <v>38</v>
      </c>
      <c r="C342" t="s">
        <v>7</v>
      </c>
      <c r="D342" t="s">
        <v>208</v>
      </c>
      <c r="E342" s="2">
        <v>45770</v>
      </c>
      <c r="F342" s="2" cm="1">
        <f t="array" ref="F342">_xlfn.IFS(B342="Owner Surrender",E342,B342="Stray",E342+6,B342="Stray w/identification",E342+11,B342="Bite",E342+10,B342="Other",Blank)</f>
        <v>45776</v>
      </c>
      <c r="G342" s="2">
        <v>45786</v>
      </c>
      <c r="H342" s="6">
        <f t="shared" si="15"/>
        <v>16</v>
      </c>
      <c r="I342" s="6">
        <f t="shared" si="14"/>
        <v>10</v>
      </c>
      <c r="J342" s="2" t="s">
        <v>31</v>
      </c>
    </row>
    <row r="343" spans="1:12" x14ac:dyDescent="0.25">
      <c r="A343" s="1">
        <v>40218</v>
      </c>
      <c r="B343" s="2" t="s">
        <v>38</v>
      </c>
      <c r="C343" t="s">
        <v>7</v>
      </c>
      <c r="D343" t="s">
        <v>208</v>
      </c>
      <c r="E343" s="2">
        <v>45772</v>
      </c>
      <c r="F343" s="2" cm="1">
        <f t="array" ref="F343">_xlfn.IFS(B343="Owner Surrender",E343,B343="Stray",E343+6,B343="Stray w/identification",E343+11,B343="Bite",E343+10,B343="Other",Blank)</f>
        <v>45778</v>
      </c>
      <c r="G343" s="2">
        <v>45784</v>
      </c>
      <c r="H343" s="6">
        <f t="shared" si="15"/>
        <v>12</v>
      </c>
      <c r="I343" s="6">
        <f t="shared" si="14"/>
        <v>6</v>
      </c>
      <c r="J343" s="2" t="s">
        <v>31</v>
      </c>
    </row>
    <row r="344" spans="1:12" x14ac:dyDescent="0.25">
      <c r="A344" s="1">
        <v>40219</v>
      </c>
      <c r="B344" s="2" t="s">
        <v>38</v>
      </c>
      <c r="C344" t="s">
        <v>7</v>
      </c>
      <c r="D344" t="s">
        <v>208</v>
      </c>
      <c r="E344" s="2">
        <v>45770</v>
      </c>
      <c r="F344" s="2" cm="1">
        <f t="array" ref="F344">_xlfn.IFS(B344="Owner Surrender",E344,B344="Stray",E344+6,B344="Stray w/identification",E344+11,B344="Bite",E344+10,B344="Other",Blank)</f>
        <v>45776</v>
      </c>
      <c r="G344" s="2">
        <v>45776</v>
      </c>
      <c r="H344" s="6">
        <f t="shared" si="15"/>
        <v>6</v>
      </c>
      <c r="I344" s="6">
        <f t="shared" si="14"/>
        <v>0</v>
      </c>
      <c r="J344" s="2" t="s">
        <v>31</v>
      </c>
      <c r="K344" t="s">
        <v>376</v>
      </c>
    </row>
    <row r="345" spans="1:12" x14ac:dyDescent="0.25">
      <c r="A345" s="1">
        <v>40220</v>
      </c>
      <c r="B345" s="2" t="s">
        <v>38</v>
      </c>
      <c r="C345" t="s">
        <v>7</v>
      </c>
      <c r="D345" t="s">
        <v>209</v>
      </c>
      <c r="E345" s="2">
        <v>45772</v>
      </c>
      <c r="F345" s="2" cm="1">
        <f t="array" ref="F345">_xlfn.IFS(B345="Owner Surrender",E345,B345="Stray",E345+6,B345="Stray w/identification",E345+11,B345="Bite",E345+10,B345="Other",Blank)</f>
        <v>45778</v>
      </c>
      <c r="G345" s="2">
        <v>45832</v>
      </c>
      <c r="H345" s="6">
        <f t="shared" si="15"/>
        <v>60</v>
      </c>
      <c r="I345" s="6">
        <f t="shared" si="14"/>
        <v>54</v>
      </c>
      <c r="J345" s="2" t="s">
        <v>31</v>
      </c>
    </row>
    <row r="346" spans="1:12" x14ac:dyDescent="0.25">
      <c r="A346" s="1">
        <v>40221</v>
      </c>
      <c r="B346" s="2" t="s">
        <v>38</v>
      </c>
      <c r="C346" t="s">
        <v>7</v>
      </c>
      <c r="D346" t="s">
        <v>209</v>
      </c>
      <c r="E346" s="2">
        <v>45770</v>
      </c>
      <c r="F346" s="2" cm="1">
        <f t="array" ref="F346">_xlfn.IFS(B346="Owner Surrender",E346,B346="Stray",E346+6,B346="Stray w/identification",E346+11,B346="Bite",E346+10,B346="Other",Blank)</f>
        <v>45776</v>
      </c>
      <c r="G346" s="2">
        <v>45784</v>
      </c>
      <c r="H346" s="6">
        <f t="shared" si="15"/>
        <v>14</v>
      </c>
      <c r="I346" s="6">
        <f t="shared" si="14"/>
        <v>8</v>
      </c>
      <c r="J346" s="2" t="s">
        <v>31</v>
      </c>
    </row>
    <row r="347" spans="1:12" x14ac:dyDescent="0.25">
      <c r="A347" s="1">
        <v>40222</v>
      </c>
      <c r="B347" s="2" t="s">
        <v>38</v>
      </c>
      <c r="C347" t="s">
        <v>7</v>
      </c>
      <c r="D347" t="s">
        <v>209</v>
      </c>
      <c r="E347" s="2">
        <v>45770</v>
      </c>
      <c r="F347" s="2" cm="1">
        <f t="array" ref="F347">_xlfn.IFS(B347="Owner Surrender",E347,B347="Stray",E347+6,B347="Stray w/identification",E347+11,B347="Bite",E347+10,B347="Other",Blank)</f>
        <v>45776</v>
      </c>
      <c r="G347" s="2">
        <v>45784</v>
      </c>
      <c r="H347" s="6">
        <f t="shared" si="15"/>
        <v>14</v>
      </c>
      <c r="I347" s="6">
        <f t="shared" si="14"/>
        <v>8</v>
      </c>
      <c r="J347" s="2" t="s">
        <v>31</v>
      </c>
    </row>
    <row r="348" spans="1:12" x14ac:dyDescent="0.25">
      <c r="A348" s="1">
        <v>40223</v>
      </c>
      <c r="B348" s="2" t="s">
        <v>38</v>
      </c>
      <c r="C348" t="s">
        <v>7</v>
      </c>
      <c r="D348" t="s">
        <v>209</v>
      </c>
      <c r="E348" s="2">
        <v>45770</v>
      </c>
      <c r="F348" s="2" cm="1">
        <f t="array" ref="F348">_xlfn.IFS(B348="Owner Surrender",E348,B348="Stray",E348+6,B348="Stray w/identification",E348+11,B348="Bite",E348+10,B348="Other",Blank)</f>
        <v>45776</v>
      </c>
      <c r="G348" s="2">
        <v>45784</v>
      </c>
      <c r="H348" s="6">
        <f t="shared" si="15"/>
        <v>14</v>
      </c>
      <c r="I348" s="6">
        <f t="shared" si="14"/>
        <v>8</v>
      </c>
      <c r="J348" s="2" t="s">
        <v>31</v>
      </c>
    </row>
    <row r="349" spans="1:12" x14ac:dyDescent="0.25">
      <c r="A349" s="1">
        <v>40224</v>
      </c>
      <c r="B349" s="2" t="s">
        <v>38</v>
      </c>
      <c r="C349" t="s">
        <v>7</v>
      </c>
      <c r="D349" t="s">
        <v>209</v>
      </c>
      <c r="E349" s="2">
        <v>45772</v>
      </c>
      <c r="F349" s="2" cm="1">
        <f t="array" ref="F349">_xlfn.IFS(B349="Owner Surrender",E349,B349="Stray",E349+6,B349="Stray w/identification",E349+11,B349="Bite",E349+10,B349="Other",Blank)</f>
        <v>45778</v>
      </c>
      <c r="G349" s="2">
        <v>45797</v>
      </c>
      <c r="H349" s="6">
        <f t="shared" si="15"/>
        <v>25</v>
      </c>
      <c r="I349" s="6">
        <f t="shared" si="14"/>
        <v>19</v>
      </c>
      <c r="J349" s="2" t="s">
        <v>31</v>
      </c>
    </row>
    <row r="350" spans="1:12" x14ac:dyDescent="0.25">
      <c r="A350" s="1">
        <v>40226</v>
      </c>
      <c r="B350" s="2" t="s">
        <v>36</v>
      </c>
      <c r="C350" t="s">
        <v>7</v>
      </c>
      <c r="D350" t="s">
        <v>208</v>
      </c>
      <c r="E350" s="2">
        <v>45772</v>
      </c>
      <c r="F350" s="2" cm="1">
        <f t="array" ref="F350">_xlfn.IFS(B350="Owner Surrender",E350,B350="Stray",E350+6,B350="Stray w/identification",E350+11,B350="Bite",E350+10,B350="Other",Blank)</f>
        <v>45772</v>
      </c>
      <c r="G350" s="2">
        <v>45791</v>
      </c>
      <c r="H350" s="6">
        <f t="shared" si="15"/>
        <v>19</v>
      </c>
      <c r="I350" s="6">
        <f t="shared" si="14"/>
        <v>19</v>
      </c>
      <c r="J350" s="2" t="s">
        <v>18</v>
      </c>
    </row>
    <row r="351" spans="1:12" x14ac:dyDescent="0.25">
      <c r="A351" s="1">
        <v>40227</v>
      </c>
      <c r="B351" s="2" t="s">
        <v>36</v>
      </c>
      <c r="C351" t="s">
        <v>7</v>
      </c>
      <c r="D351" t="s">
        <v>209</v>
      </c>
      <c r="E351" s="2">
        <v>45772</v>
      </c>
      <c r="F351" s="2" cm="1">
        <f t="array" ref="F351">_xlfn.IFS(B351="Owner Surrender",E351,B351="Stray",E351+6,B351="Stray w/identification",E351+11,B351="Bite",E351+10,B351="Other",Blank)</f>
        <v>45772</v>
      </c>
      <c r="G351" s="2">
        <v>45791</v>
      </c>
      <c r="H351" s="6">
        <f t="shared" si="15"/>
        <v>19</v>
      </c>
      <c r="I351" s="6">
        <f t="shared" si="14"/>
        <v>19</v>
      </c>
      <c r="J351" s="2" t="s">
        <v>18</v>
      </c>
    </row>
    <row r="352" spans="1:12" x14ac:dyDescent="0.25">
      <c r="A352" s="1">
        <v>40228</v>
      </c>
      <c r="B352" s="2" t="s">
        <v>36</v>
      </c>
      <c r="C352" t="s">
        <v>7</v>
      </c>
      <c r="D352" t="s">
        <v>209</v>
      </c>
      <c r="E352" s="2">
        <v>45772</v>
      </c>
      <c r="F352" s="2" cm="1">
        <f t="array" ref="F352">_xlfn.IFS(B352="Owner Surrender",E352,B352="Stray",E352+6,B352="Stray w/identification",E352+11,B352="Bite",E352+10,B352="Other",Blank)</f>
        <v>45772</v>
      </c>
      <c r="G352" s="2">
        <v>45791</v>
      </c>
      <c r="H352" s="6">
        <f t="shared" si="15"/>
        <v>19</v>
      </c>
      <c r="I352" s="6">
        <f t="shared" si="14"/>
        <v>19</v>
      </c>
      <c r="J352" s="2" t="s">
        <v>18</v>
      </c>
    </row>
    <row r="353" spans="1:12" x14ac:dyDescent="0.25">
      <c r="A353" s="1">
        <v>40229</v>
      </c>
      <c r="B353" s="2" t="s">
        <v>36</v>
      </c>
      <c r="C353" t="s">
        <v>7</v>
      </c>
      <c r="D353" t="s">
        <v>209</v>
      </c>
      <c r="E353" s="2">
        <v>45772</v>
      </c>
      <c r="F353" s="2" cm="1">
        <f t="array" ref="F353">_xlfn.IFS(B353="Owner Surrender",E353,B353="Stray",E353+6,B353="Stray w/identification",E353+11,B353="Bite",E353+10,B353="Other",Blank)</f>
        <v>45772</v>
      </c>
      <c r="G353" s="2">
        <v>45772</v>
      </c>
      <c r="H353" s="6">
        <f t="shared" si="15"/>
        <v>0</v>
      </c>
      <c r="I353" s="6">
        <f t="shared" si="14"/>
        <v>0</v>
      </c>
      <c r="J353" s="2" t="s">
        <v>31</v>
      </c>
      <c r="L353" t="s">
        <v>33</v>
      </c>
    </row>
    <row r="354" spans="1:12" x14ac:dyDescent="0.25">
      <c r="A354" s="1">
        <v>40230</v>
      </c>
      <c r="B354" s="2" t="s">
        <v>36</v>
      </c>
      <c r="C354" t="s">
        <v>7</v>
      </c>
      <c r="D354" t="s">
        <v>209</v>
      </c>
      <c r="E354" s="2">
        <v>45772</v>
      </c>
      <c r="F354" s="2" cm="1">
        <f t="array" ref="F354">_xlfn.IFS(B354="Owner Surrender",E354,B354="Stray",E354+6,B354="Stray w/identification",E354+11,B354="Bite",E354+10,B354="Other",Blank)</f>
        <v>45772</v>
      </c>
      <c r="G354" s="2">
        <v>45791</v>
      </c>
      <c r="H354" s="6">
        <f t="shared" si="15"/>
        <v>19</v>
      </c>
      <c r="I354" s="6">
        <f t="shared" si="14"/>
        <v>19</v>
      </c>
      <c r="J354" s="2" t="s">
        <v>18</v>
      </c>
    </row>
    <row r="355" spans="1:12" x14ac:dyDescent="0.25">
      <c r="A355" s="1">
        <v>40231</v>
      </c>
      <c r="B355" s="2" t="s">
        <v>36</v>
      </c>
      <c r="C355" t="s">
        <v>7</v>
      </c>
      <c r="D355" t="s">
        <v>209</v>
      </c>
      <c r="E355" s="2">
        <v>45772</v>
      </c>
      <c r="F355" s="2" cm="1">
        <f t="array" ref="F355">_xlfn.IFS(B355="Owner Surrender",E355,B355="Stray",E355+6,B355="Stray w/identification",E355+11,B355="Bite",E355+10,B355="Other",Blank)</f>
        <v>45772</v>
      </c>
      <c r="G355" s="2">
        <v>45791</v>
      </c>
      <c r="H355" s="6">
        <f t="shared" si="15"/>
        <v>19</v>
      </c>
      <c r="I355" s="6">
        <f t="shared" si="14"/>
        <v>19</v>
      </c>
      <c r="J355" s="2" t="s">
        <v>18</v>
      </c>
    </row>
    <row r="356" spans="1:12" x14ac:dyDescent="0.25">
      <c r="A356" s="1">
        <v>40232</v>
      </c>
      <c r="B356" s="2" t="s">
        <v>36</v>
      </c>
      <c r="C356" t="s">
        <v>7</v>
      </c>
      <c r="D356" t="s">
        <v>209</v>
      </c>
      <c r="E356" s="2">
        <v>45772</v>
      </c>
      <c r="F356" s="2" cm="1">
        <f t="array" ref="F356">_xlfn.IFS(B356="Owner Surrender",E356,B356="Stray",E356+6,B356="Stray w/identification",E356+11,B356="Bite",E356+10,B356="Other",Blank)</f>
        <v>45772</v>
      </c>
      <c r="G356" s="2">
        <v>45791</v>
      </c>
      <c r="H356" s="6">
        <f t="shared" si="15"/>
        <v>19</v>
      </c>
      <c r="I356" s="6">
        <f t="shared" si="14"/>
        <v>19</v>
      </c>
      <c r="J356" s="2" t="s">
        <v>18</v>
      </c>
    </row>
    <row r="357" spans="1:12" x14ac:dyDescent="0.25">
      <c r="A357" s="1">
        <v>40233</v>
      </c>
      <c r="B357" s="2" t="s">
        <v>36</v>
      </c>
      <c r="C357" t="s">
        <v>7</v>
      </c>
      <c r="D357" t="s">
        <v>209</v>
      </c>
      <c r="E357" s="2">
        <v>45772</v>
      </c>
      <c r="F357" s="2" cm="1">
        <f t="array" ref="F357">_xlfn.IFS(B357="Owner Surrender",E357,B357="Stray",E357+6,B357="Stray w/identification",E357+11,B357="Bite",E357+10,B357="Other",Blank)</f>
        <v>45772</v>
      </c>
      <c r="G357" s="2">
        <v>45791</v>
      </c>
      <c r="H357" s="6">
        <f t="shared" si="15"/>
        <v>19</v>
      </c>
      <c r="I357" s="6">
        <f t="shared" si="14"/>
        <v>19</v>
      </c>
      <c r="J357" s="2" t="s">
        <v>18</v>
      </c>
    </row>
    <row r="358" spans="1:12" x14ac:dyDescent="0.25">
      <c r="A358" s="1">
        <v>40235</v>
      </c>
      <c r="B358" s="2" t="s">
        <v>36</v>
      </c>
      <c r="C358" t="s">
        <v>7</v>
      </c>
      <c r="D358" t="s">
        <v>208</v>
      </c>
      <c r="E358" s="2">
        <v>45772</v>
      </c>
      <c r="F358" s="2" cm="1">
        <f t="array" ref="F358">_xlfn.IFS(B358="Owner Surrender",E358,B358="Stray",E358+6,B358="Stray w/identification",E358+11,B358="Bite",E358+10,B358="Other",Blank)</f>
        <v>45772</v>
      </c>
      <c r="G358" s="2">
        <v>45776</v>
      </c>
      <c r="H358" s="6">
        <f t="shared" si="15"/>
        <v>4</v>
      </c>
      <c r="I358" s="6">
        <f t="shared" ref="I358:I421" si="16">G358-F358</f>
        <v>4</v>
      </c>
      <c r="J358" s="2" t="s">
        <v>31</v>
      </c>
      <c r="K358" t="s">
        <v>375</v>
      </c>
    </row>
    <row r="359" spans="1:12" x14ac:dyDescent="0.25">
      <c r="A359" s="1">
        <v>40235</v>
      </c>
      <c r="B359" s="2" t="s">
        <v>38</v>
      </c>
      <c r="C359" t="s">
        <v>7</v>
      </c>
      <c r="D359" t="s">
        <v>208</v>
      </c>
      <c r="E359" s="2">
        <v>45772</v>
      </c>
      <c r="F359" s="2" cm="1">
        <f t="array" ref="F359">_xlfn.IFS(B359="Owner Surrender",E359,B359="Stray",E359+6,B359="Stray w/identification",E359+11,B359="Bite",E359+10,B359="Other",Blank)</f>
        <v>45778</v>
      </c>
      <c r="G359" s="2">
        <v>45779</v>
      </c>
      <c r="H359" s="6">
        <f t="shared" si="15"/>
        <v>7</v>
      </c>
      <c r="I359" s="6">
        <f t="shared" si="16"/>
        <v>1</v>
      </c>
      <c r="J359" s="2" t="s">
        <v>31</v>
      </c>
      <c r="L359" t="s">
        <v>34</v>
      </c>
    </row>
    <row r="360" spans="1:12" x14ac:dyDescent="0.25">
      <c r="A360" s="1">
        <v>40236</v>
      </c>
      <c r="B360" s="2" t="s">
        <v>38</v>
      </c>
      <c r="C360" t="s">
        <v>10</v>
      </c>
      <c r="D360" t="s">
        <v>209</v>
      </c>
      <c r="E360" s="2">
        <v>45772</v>
      </c>
      <c r="F360" s="2" cm="1">
        <f t="array" ref="F360">_xlfn.IFS(B360="Owner Surrender",E360,B360="Stray",E360+6,B360="Stray w/identification",E360+11,B360="Bite",E360+10,B360="Other",Blank)</f>
        <v>45778</v>
      </c>
      <c r="G360" s="2">
        <v>45786</v>
      </c>
      <c r="H360" s="6">
        <f t="shared" ref="H360:H423" si="17">+G360-E360</f>
        <v>14</v>
      </c>
      <c r="I360" s="6">
        <f t="shared" si="16"/>
        <v>8</v>
      </c>
      <c r="J360" s="2" t="s">
        <v>28</v>
      </c>
      <c r="L360" t="s">
        <v>112</v>
      </c>
    </row>
    <row r="361" spans="1:12" x14ac:dyDescent="0.25">
      <c r="A361" s="1">
        <v>40237</v>
      </c>
      <c r="B361" s="2" t="s">
        <v>38</v>
      </c>
      <c r="C361" t="s">
        <v>10</v>
      </c>
      <c r="D361" t="s">
        <v>209</v>
      </c>
      <c r="E361" s="2">
        <v>45772</v>
      </c>
      <c r="F361" s="2" cm="1">
        <f t="array" ref="F361">_xlfn.IFS(B361="Owner Surrender",E361,B361="Stray",E361+6,B361="Stray w/identification",E361+11,B361="Bite",E361+10,B361="Other",Blank)</f>
        <v>45778</v>
      </c>
      <c r="G361" s="2">
        <v>45791</v>
      </c>
      <c r="H361" s="6">
        <f t="shared" si="17"/>
        <v>19</v>
      </c>
      <c r="I361" s="6">
        <f t="shared" si="16"/>
        <v>13</v>
      </c>
      <c r="J361" s="2" t="s">
        <v>18</v>
      </c>
    </row>
    <row r="362" spans="1:12" x14ac:dyDescent="0.25">
      <c r="A362" s="1">
        <v>40238</v>
      </c>
      <c r="B362" s="2" t="s">
        <v>38</v>
      </c>
      <c r="C362" t="s">
        <v>10</v>
      </c>
      <c r="D362" t="s">
        <v>209</v>
      </c>
      <c r="E362" s="2">
        <v>45772</v>
      </c>
      <c r="F362" s="2" cm="1">
        <f t="array" ref="F362">_xlfn.IFS(B362="Owner Surrender",E362,B362="Stray",E362+6,B362="Stray w/identification",E362+11,B362="Bite",E362+10,B362="Other",Blank)</f>
        <v>45778</v>
      </c>
      <c r="G362" s="2">
        <v>45772</v>
      </c>
      <c r="H362" s="6">
        <f t="shared" si="17"/>
        <v>0</v>
      </c>
      <c r="I362" s="6">
        <f t="shared" si="16"/>
        <v>-6</v>
      </c>
      <c r="J362" s="2" t="s">
        <v>31</v>
      </c>
      <c r="L362" t="s">
        <v>124</v>
      </c>
    </row>
    <row r="363" spans="1:12" x14ac:dyDescent="0.25">
      <c r="A363" s="1">
        <v>40241</v>
      </c>
      <c r="B363" s="2" t="s">
        <v>38</v>
      </c>
      <c r="C363" t="s">
        <v>7</v>
      </c>
      <c r="D363" t="s">
        <v>209</v>
      </c>
      <c r="E363" s="2">
        <v>45773</v>
      </c>
      <c r="F363" s="2" cm="1">
        <f t="array" ref="F363">_xlfn.IFS(B363="Owner Surrender",E363,B363="Stray",E363+6,B363="Stray w/identification",E363+11,B363="Bite",E363+10,B363="Other",Blank)</f>
        <v>45779</v>
      </c>
      <c r="G363" s="2">
        <v>45784</v>
      </c>
      <c r="H363" s="6">
        <f t="shared" si="17"/>
        <v>11</v>
      </c>
      <c r="I363" s="6">
        <f t="shared" si="16"/>
        <v>5</v>
      </c>
      <c r="J363" s="2" t="s">
        <v>11</v>
      </c>
    </row>
    <row r="364" spans="1:12" x14ac:dyDescent="0.25">
      <c r="A364" s="1">
        <v>40242</v>
      </c>
      <c r="B364" s="2" t="s">
        <v>38</v>
      </c>
      <c r="C364" t="s">
        <v>7</v>
      </c>
      <c r="D364" t="s">
        <v>209</v>
      </c>
      <c r="E364" s="2">
        <v>45773</v>
      </c>
      <c r="F364" s="2" cm="1">
        <f t="array" ref="F364">_xlfn.IFS(B364="Owner Surrender",E364,B364="Stray",E364+6,B364="Stray w/identification",E364+11,B364="Bite",E364+10,B364="Other",Blank)</f>
        <v>45779</v>
      </c>
      <c r="G364" s="2">
        <v>45784</v>
      </c>
      <c r="H364" s="6">
        <f t="shared" si="17"/>
        <v>11</v>
      </c>
      <c r="I364" s="6">
        <f t="shared" si="16"/>
        <v>5</v>
      </c>
      <c r="J364" s="2" t="s">
        <v>11</v>
      </c>
      <c r="K364" t="s">
        <v>382</v>
      </c>
    </row>
    <row r="365" spans="1:12" x14ac:dyDescent="0.25">
      <c r="A365" s="1">
        <v>40243</v>
      </c>
      <c r="B365" s="2" t="s">
        <v>38</v>
      </c>
      <c r="C365" t="s">
        <v>7</v>
      </c>
      <c r="D365" t="s">
        <v>209</v>
      </c>
      <c r="E365" s="2">
        <v>45773</v>
      </c>
      <c r="F365" s="2" cm="1">
        <f t="array" ref="F365">_xlfn.IFS(B365="Owner Surrender",E365,B365="Stray",E365+6,B365="Stray w/identification",E365+11,B365="Bite",E365+10,B365="Other",Blank)</f>
        <v>45779</v>
      </c>
      <c r="G365" s="2">
        <v>45778</v>
      </c>
      <c r="H365" s="6">
        <f t="shared" si="17"/>
        <v>5</v>
      </c>
      <c r="I365" s="6">
        <f t="shared" si="16"/>
        <v>-1</v>
      </c>
      <c r="J365" s="2" t="s">
        <v>31</v>
      </c>
      <c r="K365" t="s">
        <v>374</v>
      </c>
    </row>
    <row r="366" spans="1:12" x14ac:dyDescent="0.25">
      <c r="A366" s="1">
        <v>40264</v>
      </c>
      <c r="B366" s="2" t="s">
        <v>38</v>
      </c>
      <c r="C366" t="s">
        <v>10</v>
      </c>
      <c r="D366" t="s">
        <v>208</v>
      </c>
      <c r="E366" s="2">
        <v>45775</v>
      </c>
      <c r="F366" s="2" cm="1">
        <f t="array" ref="F366">_xlfn.IFS(B366="Owner Surrender",E366,B366="Stray",E366+6,B366="Stray w/identification",E366+11,B366="Bite",E366+10,B366="Other",Blank)</f>
        <v>45781</v>
      </c>
      <c r="G366" s="2">
        <v>45786</v>
      </c>
      <c r="H366" s="6">
        <f t="shared" si="17"/>
        <v>11</v>
      </c>
      <c r="I366" s="6">
        <f t="shared" si="16"/>
        <v>5</v>
      </c>
      <c r="J366" s="2" t="s">
        <v>31</v>
      </c>
    </row>
    <row r="367" spans="1:12" x14ac:dyDescent="0.25">
      <c r="A367" s="1">
        <v>40266</v>
      </c>
      <c r="B367" s="2" t="s">
        <v>36</v>
      </c>
      <c r="C367" t="s">
        <v>10</v>
      </c>
      <c r="D367" t="s">
        <v>208</v>
      </c>
      <c r="E367" s="2">
        <v>45774</v>
      </c>
      <c r="F367" s="2" cm="1">
        <f t="array" ref="F367">_xlfn.IFS(B367="Owner Surrender",E367,B367="Stray",E367+6,B367="Stray w/identification",E367+11,B367="Bite",E367+10,B367="Other",Blank)</f>
        <v>45774</v>
      </c>
      <c r="G367" s="2">
        <v>45785</v>
      </c>
      <c r="H367" s="6">
        <f t="shared" si="17"/>
        <v>11</v>
      </c>
      <c r="I367" s="6">
        <f t="shared" si="16"/>
        <v>11</v>
      </c>
      <c r="J367" s="2" t="s">
        <v>31</v>
      </c>
    </row>
    <row r="368" spans="1:12" x14ac:dyDescent="0.25">
      <c r="A368" s="1">
        <v>40269</v>
      </c>
      <c r="B368" s="2" t="s">
        <v>38</v>
      </c>
      <c r="C368" t="s">
        <v>7</v>
      </c>
      <c r="D368" t="s">
        <v>208</v>
      </c>
      <c r="E368" s="2">
        <v>45776</v>
      </c>
      <c r="F368" s="2" cm="1">
        <f t="array" ref="F368">_xlfn.IFS(B368="Owner Surrender",E368,B368="Stray",E368+6,B368="Stray w/identification",E368+11,B368="Bite",E368+10,B368="Other",Blank)</f>
        <v>45782</v>
      </c>
      <c r="G368" s="2">
        <v>45785</v>
      </c>
      <c r="H368" s="6">
        <f t="shared" si="17"/>
        <v>9</v>
      </c>
      <c r="I368" s="6">
        <f t="shared" si="16"/>
        <v>3</v>
      </c>
      <c r="J368" s="2" t="s">
        <v>11</v>
      </c>
    </row>
    <row r="369" spans="1:12" x14ac:dyDescent="0.25">
      <c r="A369" s="1">
        <v>40270</v>
      </c>
      <c r="B369" s="2" t="s">
        <v>36</v>
      </c>
      <c r="C369" t="s">
        <v>7</v>
      </c>
      <c r="D369" t="s">
        <v>208</v>
      </c>
      <c r="E369" s="2">
        <v>45776</v>
      </c>
      <c r="F369" s="2" cm="1">
        <f t="array" ref="F369">_xlfn.IFS(B369="Owner Surrender",E369,B369="Stray",E369+6,B369="Stray w/identification",E369+11,B369="Bite",E369+10,B369="Other",Blank)</f>
        <v>45776</v>
      </c>
      <c r="G369" s="2">
        <v>45779</v>
      </c>
      <c r="H369" s="6">
        <f t="shared" si="17"/>
        <v>3</v>
      </c>
      <c r="I369" s="6">
        <f t="shared" si="16"/>
        <v>3</v>
      </c>
      <c r="J369" s="2" t="s">
        <v>31</v>
      </c>
    </row>
    <row r="370" spans="1:12" x14ac:dyDescent="0.25">
      <c r="A370" s="1">
        <v>40275</v>
      </c>
      <c r="B370" s="2" t="s">
        <v>38</v>
      </c>
      <c r="C370" t="s">
        <v>7</v>
      </c>
      <c r="D370" t="s">
        <v>208</v>
      </c>
      <c r="E370" s="2">
        <v>45778</v>
      </c>
      <c r="F370" s="2" cm="1">
        <f t="array" ref="F370">_xlfn.IFS(B370="Owner Surrender",E370,B370="Stray",E370+6,B370="Stray w/identification",E370+11,B370="Bite",E370+10,B370="Other",Blank)</f>
        <v>45784</v>
      </c>
      <c r="G370" s="2">
        <v>45784</v>
      </c>
      <c r="H370" s="6">
        <f t="shared" si="17"/>
        <v>6</v>
      </c>
      <c r="I370" s="6">
        <f t="shared" si="16"/>
        <v>0</v>
      </c>
      <c r="J370" s="2" t="s">
        <v>31</v>
      </c>
    </row>
    <row r="371" spans="1:12" x14ac:dyDescent="0.25">
      <c r="A371" s="1">
        <v>40276</v>
      </c>
      <c r="B371" s="2" t="s">
        <v>38</v>
      </c>
      <c r="C371" t="s">
        <v>7</v>
      </c>
      <c r="D371" t="s">
        <v>209</v>
      </c>
      <c r="E371" s="2">
        <v>45778</v>
      </c>
      <c r="F371" s="2" cm="1">
        <f t="array" ref="F371">_xlfn.IFS(B371="Owner Surrender",E371,B371="Stray",E371+6,B371="Stray w/identification",E371+11,B371="Bite",E371+10,B371="Other",Blank)</f>
        <v>45784</v>
      </c>
      <c r="G371" s="2">
        <v>45784</v>
      </c>
      <c r="H371" s="6">
        <f t="shared" si="17"/>
        <v>6</v>
      </c>
      <c r="I371" s="6">
        <f t="shared" si="16"/>
        <v>0</v>
      </c>
      <c r="J371" s="2" t="s">
        <v>31</v>
      </c>
    </row>
    <row r="372" spans="1:12" x14ac:dyDescent="0.25">
      <c r="A372" s="1">
        <v>40277</v>
      </c>
      <c r="B372" s="2" t="s">
        <v>38</v>
      </c>
      <c r="C372" t="s">
        <v>7</v>
      </c>
      <c r="D372" t="s">
        <v>209</v>
      </c>
      <c r="E372" s="2">
        <v>45778</v>
      </c>
      <c r="F372" s="2" cm="1">
        <f t="array" ref="F372">_xlfn.IFS(B372="Owner Surrender",E372,B372="Stray",E372+6,B372="Stray w/identification",E372+11,B372="Bite",E372+10,B372="Other",Blank)</f>
        <v>45784</v>
      </c>
      <c r="G372" s="2">
        <v>45784</v>
      </c>
      <c r="H372" s="6">
        <f t="shared" si="17"/>
        <v>6</v>
      </c>
      <c r="I372" s="6">
        <f t="shared" si="16"/>
        <v>0</v>
      </c>
      <c r="J372" s="2" t="s">
        <v>31</v>
      </c>
      <c r="L372" t="s">
        <v>33</v>
      </c>
    </row>
    <row r="373" spans="1:12" x14ac:dyDescent="0.25">
      <c r="A373" s="1">
        <v>40278</v>
      </c>
      <c r="B373" s="2" t="s">
        <v>38</v>
      </c>
      <c r="C373" t="s">
        <v>7</v>
      </c>
      <c r="D373" t="s">
        <v>209</v>
      </c>
      <c r="E373" s="2">
        <v>45778</v>
      </c>
      <c r="F373" s="2" cm="1">
        <f t="array" ref="F373">_xlfn.IFS(B373="Owner Surrender",E373,B373="Stray",E373+6,B373="Stray w/identification",E373+11,B373="Bite",E373+10,B373="Other",Blank)</f>
        <v>45784</v>
      </c>
      <c r="G373" s="2">
        <v>45784</v>
      </c>
      <c r="H373" s="6">
        <f t="shared" si="17"/>
        <v>6</v>
      </c>
      <c r="I373" s="6">
        <f t="shared" si="16"/>
        <v>0</v>
      </c>
      <c r="J373" s="2" t="s">
        <v>31</v>
      </c>
      <c r="L373" t="s">
        <v>33</v>
      </c>
    </row>
    <row r="374" spans="1:12" x14ac:dyDescent="0.25">
      <c r="A374" s="1">
        <v>40279</v>
      </c>
      <c r="B374" s="2" t="s">
        <v>38</v>
      </c>
      <c r="C374" t="s">
        <v>7</v>
      </c>
      <c r="D374" t="s">
        <v>209</v>
      </c>
      <c r="E374" s="2">
        <v>45778</v>
      </c>
      <c r="F374" s="2" cm="1">
        <f t="array" ref="F374">_xlfn.IFS(B374="Owner Surrender",E374,B374="Stray",E374+6,B374="Stray w/identification",E374+11,B374="Bite",E374+10,B374="Other",Blank)</f>
        <v>45784</v>
      </c>
      <c r="G374" s="2">
        <v>45784</v>
      </c>
      <c r="H374" s="6">
        <f t="shared" si="17"/>
        <v>6</v>
      </c>
      <c r="I374" s="6">
        <f t="shared" si="16"/>
        <v>0</v>
      </c>
      <c r="J374" s="2" t="s">
        <v>31</v>
      </c>
      <c r="L374" t="s">
        <v>33</v>
      </c>
    </row>
    <row r="375" spans="1:12" x14ac:dyDescent="0.25">
      <c r="A375" s="1">
        <v>40280</v>
      </c>
      <c r="B375" s="2" t="s">
        <v>38</v>
      </c>
      <c r="C375" t="s">
        <v>7</v>
      </c>
      <c r="D375" t="s">
        <v>209</v>
      </c>
      <c r="E375" s="2">
        <v>45778</v>
      </c>
      <c r="F375" s="2" cm="1">
        <f t="array" ref="F375">_xlfn.IFS(B375="Owner Surrender",E375,B375="Stray",E375+6,B375="Stray w/identification",E375+11,B375="Bite",E375+10,B375="Other",Blank)</f>
        <v>45784</v>
      </c>
      <c r="G375" s="2">
        <v>45784</v>
      </c>
      <c r="H375" s="6">
        <f t="shared" si="17"/>
        <v>6</v>
      </c>
      <c r="I375" s="6">
        <f t="shared" si="16"/>
        <v>0</v>
      </c>
      <c r="J375" s="2" t="s">
        <v>31</v>
      </c>
      <c r="L375" t="s">
        <v>33</v>
      </c>
    </row>
    <row r="376" spans="1:12" x14ac:dyDescent="0.25">
      <c r="A376" s="1">
        <v>40281</v>
      </c>
      <c r="B376" s="2" t="s">
        <v>38</v>
      </c>
      <c r="C376" t="s">
        <v>7</v>
      </c>
      <c r="D376" t="s">
        <v>209</v>
      </c>
      <c r="E376" s="2">
        <v>45778</v>
      </c>
      <c r="F376" s="2" cm="1">
        <f t="array" ref="F376">_xlfn.IFS(B376="Owner Surrender",E376,B376="Stray",E376+6,B376="Stray w/identification",E376+11,B376="Bite",E376+10,B376="Other",Blank)</f>
        <v>45784</v>
      </c>
      <c r="G376" s="2">
        <v>45784</v>
      </c>
      <c r="H376" s="6">
        <f t="shared" si="17"/>
        <v>6</v>
      </c>
      <c r="I376" s="6">
        <f t="shared" si="16"/>
        <v>0</v>
      </c>
      <c r="J376" s="2" t="s">
        <v>31</v>
      </c>
      <c r="L376" t="s">
        <v>33</v>
      </c>
    </row>
    <row r="377" spans="1:12" x14ac:dyDescent="0.25">
      <c r="A377" s="3">
        <v>40284</v>
      </c>
      <c r="B377" s="2" t="s">
        <v>36</v>
      </c>
      <c r="C377" t="s">
        <v>7</v>
      </c>
      <c r="D377" t="s">
        <v>209</v>
      </c>
      <c r="E377" s="2">
        <v>45779</v>
      </c>
      <c r="F377" s="2" cm="1">
        <f t="array" ref="F377">_xlfn.IFS(B377="Owner Surrender",E377,B377="Stray",E377+6,B377="Stray w/identification",E377+11,B377="Bite",E377+10,B377="Other",Blank)</f>
        <v>45779</v>
      </c>
      <c r="G377" s="2">
        <v>45845</v>
      </c>
      <c r="H377" s="6">
        <f t="shared" si="17"/>
        <v>66</v>
      </c>
      <c r="I377" s="6">
        <f t="shared" si="16"/>
        <v>66</v>
      </c>
      <c r="J377" s="2" t="s">
        <v>11</v>
      </c>
    </row>
    <row r="378" spans="1:12" x14ac:dyDescent="0.25">
      <c r="A378" s="1">
        <v>40285</v>
      </c>
      <c r="B378" s="2" t="s">
        <v>36</v>
      </c>
      <c r="C378" t="s">
        <v>7</v>
      </c>
      <c r="D378" t="s">
        <v>209</v>
      </c>
      <c r="E378" s="2">
        <v>45779</v>
      </c>
      <c r="F378" s="2" cm="1">
        <f t="array" ref="F378">_xlfn.IFS(B378="Owner Surrender",E378,B378="Stray",E378+6,B378="Stray w/identification",E378+11,B378="Bite",E378+10,B378="Other",Blank)</f>
        <v>45779</v>
      </c>
      <c r="G378" s="2">
        <v>45797</v>
      </c>
      <c r="H378" s="6">
        <f t="shared" si="17"/>
        <v>18</v>
      </c>
      <c r="I378" s="6">
        <f t="shared" si="16"/>
        <v>18</v>
      </c>
      <c r="J378" s="2" t="s">
        <v>31</v>
      </c>
    </row>
    <row r="379" spans="1:12" x14ac:dyDescent="0.25">
      <c r="A379" s="1">
        <v>40286</v>
      </c>
      <c r="B379" s="2" t="s">
        <v>36</v>
      </c>
      <c r="C379" t="s">
        <v>7</v>
      </c>
      <c r="D379" t="s">
        <v>209</v>
      </c>
      <c r="E379" s="2">
        <v>45779</v>
      </c>
      <c r="F379" s="2" cm="1">
        <f t="array" ref="F379">_xlfn.IFS(B379="Owner Surrender",E379,B379="Stray",E379+6,B379="Stray w/identification",E379+11,B379="Bite",E379+10,B379="Other",Blank)</f>
        <v>45779</v>
      </c>
      <c r="G379" s="2">
        <v>45832</v>
      </c>
      <c r="H379" s="6">
        <f t="shared" si="17"/>
        <v>53</v>
      </c>
      <c r="I379" s="6">
        <f t="shared" si="16"/>
        <v>53</v>
      </c>
      <c r="J379" s="2" t="s">
        <v>31</v>
      </c>
    </row>
    <row r="380" spans="1:12" x14ac:dyDescent="0.25">
      <c r="A380" s="1">
        <v>40287</v>
      </c>
      <c r="B380" s="2" t="s">
        <v>36</v>
      </c>
      <c r="C380" t="s">
        <v>7</v>
      </c>
      <c r="D380" t="s">
        <v>209</v>
      </c>
      <c r="E380" s="2">
        <v>45779</v>
      </c>
      <c r="F380" s="2" cm="1">
        <f t="array" ref="F380">_xlfn.IFS(B380="Owner Surrender",E380,B380="Stray",E380+6,B380="Stray w/identification",E380+11,B380="Bite",E380+10,B380="Other",Blank)</f>
        <v>45779</v>
      </c>
      <c r="G380" s="2">
        <v>45828</v>
      </c>
      <c r="H380" s="6">
        <f t="shared" si="17"/>
        <v>49</v>
      </c>
      <c r="I380" s="6">
        <f t="shared" si="16"/>
        <v>49</v>
      </c>
      <c r="J380" s="2" t="s">
        <v>31</v>
      </c>
    </row>
    <row r="381" spans="1:12" x14ac:dyDescent="0.25">
      <c r="A381" s="1">
        <v>40288</v>
      </c>
      <c r="B381" s="2" t="s">
        <v>36</v>
      </c>
      <c r="C381" t="s">
        <v>7</v>
      </c>
      <c r="D381" t="s">
        <v>209</v>
      </c>
      <c r="E381" s="2">
        <v>45779</v>
      </c>
      <c r="F381" s="2" cm="1">
        <f t="array" ref="F381">_xlfn.IFS(B381="Owner Surrender",E381,B381="Stray",E381+6,B381="Stray w/identification",E381+11,B381="Bite",E381+10,B381="Other",Blank)</f>
        <v>45779</v>
      </c>
      <c r="G381" s="2">
        <v>45832</v>
      </c>
      <c r="H381" s="6">
        <f t="shared" si="17"/>
        <v>53</v>
      </c>
      <c r="I381" s="6">
        <f t="shared" si="16"/>
        <v>53</v>
      </c>
      <c r="J381" s="2" t="s">
        <v>31</v>
      </c>
    </row>
    <row r="382" spans="1:12" x14ac:dyDescent="0.25">
      <c r="A382" s="1">
        <v>40289</v>
      </c>
      <c r="B382" s="2" t="s">
        <v>38</v>
      </c>
      <c r="C382" t="s">
        <v>7</v>
      </c>
      <c r="D382" t="s">
        <v>208</v>
      </c>
      <c r="E382" s="2">
        <v>45780</v>
      </c>
      <c r="F382" s="2" cm="1">
        <f t="array" ref="F382">_xlfn.IFS(B382="Owner Surrender",E382,B382="Stray",E382+6,B382="Stray w/identification",E382+11,B382="Bite",E382+10,B382="Other",Blank)</f>
        <v>45786</v>
      </c>
      <c r="G382" s="2">
        <v>45791</v>
      </c>
      <c r="H382" s="6">
        <f t="shared" si="17"/>
        <v>11</v>
      </c>
      <c r="I382" s="6">
        <f t="shared" si="16"/>
        <v>5</v>
      </c>
      <c r="J382" s="2" t="s">
        <v>18</v>
      </c>
    </row>
    <row r="383" spans="1:12" x14ac:dyDescent="0.25">
      <c r="A383" s="1">
        <v>40290</v>
      </c>
      <c r="B383" s="2" t="s">
        <v>38</v>
      </c>
      <c r="C383" t="s">
        <v>7</v>
      </c>
      <c r="D383" t="s">
        <v>209</v>
      </c>
      <c r="E383" s="2">
        <v>45780</v>
      </c>
      <c r="F383" s="2" cm="1">
        <f t="array" ref="F383">_xlfn.IFS(B383="Owner Surrender",E383,B383="Stray",E383+6,B383="Stray w/identification",E383+11,B383="Bite",E383+10,B383="Other",Blank)</f>
        <v>45786</v>
      </c>
      <c r="G383" s="2">
        <v>45791</v>
      </c>
      <c r="H383" s="6">
        <f t="shared" si="17"/>
        <v>11</v>
      </c>
      <c r="I383" s="6">
        <f t="shared" si="16"/>
        <v>5</v>
      </c>
      <c r="J383" s="2" t="s">
        <v>18</v>
      </c>
    </row>
    <row r="384" spans="1:12" x14ac:dyDescent="0.25">
      <c r="A384" s="3">
        <v>40291</v>
      </c>
      <c r="B384" s="2" t="s">
        <v>36</v>
      </c>
      <c r="C384" t="s">
        <v>15</v>
      </c>
      <c r="D384" t="s">
        <v>208</v>
      </c>
      <c r="E384" s="2">
        <v>45780</v>
      </c>
      <c r="F384" s="2" cm="1">
        <f t="array" ref="F384">_xlfn.IFS(B384="Owner Surrender",E384,B384="Stray",E384+6,B384="Stray w/identification",E384+11,B384="Bite",E384+10,B384="Other",Blank)</f>
        <v>45780</v>
      </c>
      <c r="G384" s="2">
        <v>45853</v>
      </c>
      <c r="H384" s="6">
        <f t="shared" si="17"/>
        <v>73</v>
      </c>
      <c r="I384" s="6">
        <f t="shared" si="16"/>
        <v>73</v>
      </c>
      <c r="J384" s="2" t="s">
        <v>11</v>
      </c>
      <c r="K384" t="s">
        <v>16</v>
      </c>
    </row>
    <row r="385" spans="1:12" x14ac:dyDescent="0.25">
      <c r="A385" s="1">
        <v>40292</v>
      </c>
      <c r="B385" s="2" t="s">
        <v>38</v>
      </c>
      <c r="C385" t="s">
        <v>7</v>
      </c>
      <c r="D385" t="s">
        <v>208</v>
      </c>
      <c r="E385" s="2">
        <v>45780</v>
      </c>
      <c r="F385" s="2" cm="1">
        <f t="array" ref="F385">_xlfn.IFS(B385="Owner Surrender",E385,B385="Stray",E385+6,B385="Stray w/identification",E385+11,B385="Bite",E385+10,B385="Other",Blank)</f>
        <v>45786</v>
      </c>
      <c r="G385" s="2">
        <v>45786</v>
      </c>
      <c r="H385" s="6">
        <f t="shared" si="17"/>
        <v>6</v>
      </c>
      <c r="I385" s="6">
        <f t="shared" si="16"/>
        <v>0</v>
      </c>
      <c r="J385" s="2" t="s">
        <v>31</v>
      </c>
    </row>
    <row r="386" spans="1:12" x14ac:dyDescent="0.25">
      <c r="A386" s="1">
        <v>40293</v>
      </c>
      <c r="B386" s="2" t="s">
        <v>38</v>
      </c>
      <c r="C386" t="s">
        <v>7</v>
      </c>
      <c r="D386" t="s">
        <v>209</v>
      </c>
      <c r="E386" s="2">
        <v>45780</v>
      </c>
      <c r="F386" s="2" cm="1">
        <f t="array" ref="F386">_xlfn.IFS(B386="Owner Surrender",E386,B386="Stray",E386+6,B386="Stray w/identification",E386+11,B386="Bite",E386+10,B386="Other",Blank)</f>
        <v>45786</v>
      </c>
      <c r="G386" s="2">
        <v>45786</v>
      </c>
      <c r="H386" s="6">
        <f t="shared" si="17"/>
        <v>6</v>
      </c>
      <c r="I386" s="6">
        <f t="shared" si="16"/>
        <v>0</v>
      </c>
      <c r="J386" s="2" t="s">
        <v>31</v>
      </c>
    </row>
    <row r="387" spans="1:12" x14ac:dyDescent="0.25">
      <c r="A387" s="1">
        <v>40294</v>
      </c>
      <c r="B387" s="2" t="s">
        <v>38</v>
      </c>
      <c r="C387" t="s">
        <v>7</v>
      </c>
      <c r="D387" t="s">
        <v>209</v>
      </c>
      <c r="E387" s="2">
        <v>45780</v>
      </c>
      <c r="F387" s="2" cm="1">
        <f t="array" ref="F387">_xlfn.IFS(B387="Owner Surrender",E387,B387="Stray",E387+6,B387="Stray w/identification",E387+11,B387="Bite",E387+10,B387="Other",Blank)</f>
        <v>45786</v>
      </c>
      <c r="G387" s="2">
        <v>45786</v>
      </c>
      <c r="H387" s="6">
        <f t="shared" si="17"/>
        <v>6</v>
      </c>
      <c r="I387" s="6">
        <f t="shared" si="16"/>
        <v>0</v>
      </c>
      <c r="J387" s="2" t="s">
        <v>31</v>
      </c>
    </row>
    <row r="388" spans="1:12" x14ac:dyDescent="0.25">
      <c r="A388" s="1">
        <v>40295</v>
      </c>
      <c r="B388" s="2" t="s">
        <v>38</v>
      </c>
      <c r="C388" t="s">
        <v>7</v>
      </c>
      <c r="D388" t="s">
        <v>209</v>
      </c>
      <c r="E388" s="2">
        <v>45780</v>
      </c>
      <c r="F388" s="2" cm="1">
        <f t="array" ref="F388">_xlfn.IFS(B388="Owner Surrender",E388,B388="Stray",E388+6,B388="Stray w/identification",E388+11,B388="Bite",E388+10,B388="Other",Blank)</f>
        <v>45786</v>
      </c>
      <c r="G388" s="2">
        <v>45786</v>
      </c>
      <c r="H388" s="6">
        <f t="shared" si="17"/>
        <v>6</v>
      </c>
      <c r="I388" s="6">
        <f t="shared" si="16"/>
        <v>0</v>
      </c>
      <c r="J388" s="2" t="s">
        <v>31</v>
      </c>
    </row>
    <row r="389" spans="1:12" x14ac:dyDescent="0.25">
      <c r="A389" s="1">
        <v>40296</v>
      </c>
      <c r="B389" s="2" t="s">
        <v>38</v>
      </c>
      <c r="C389" t="s">
        <v>7</v>
      </c>
      <c r="D389" t="s">
        <v>209</v>
      </c>
      <c r="E389" s="2">
        <v>45780</v>
      </c>
      <c r="F389" s="2" cm="1">
        <f t="array" ref="F389">_xlfn.IFS(B389="Owner Surrender",E389,B389="Stray",E389+6,B389="Stray w/identification",E389+11,B389="Bite",E389+10,B389="Other",Blank)</f>
        <v>45786</v>
      </c>
      <c r="H389" s="6">
        <f t="shared" si="17"/>
        <v>-45780</v>
      </c>
      <c r="I389" s="6">
        <f t="shared" si="16"/>
        <v>-45786</v>
      </c>
      <c r="J389" s="2" t="s">
        <v>21</v>
      </c>
    </row>
    <row r="390" spans="1:12" x14ac:dyDescent="0.25">
      <c r="A390" s="1">
        <v>40297</v>
      </c>
      <c r="B390" s="2" t="s">
        <v>38</v>
      </c>
      <c r="C390" t="s">
        <v>7</v>
      </c>
      <c r="D390" t="s">
        <v>208</v>
      </c>
      <c r="E390" s="2">
        <v>45780</v>
      </c>
      <c r="F390" s="2" cm="1">
        <f t="array" ref="F390">_xlfn.IFS(B390="Owner Surrender",E390,B390="Stray",E390+6,B390="Stray w/identification",E390+11,B390="Bite",E390+10,B390="Other",Blank)</f>
        <v>45786</v>
      </c>
      <c r="G390" s="2">
        <v>45786</v>
      </c>
      <c r="H390" s="6">
        <f t="shared" si="17"/>
        <v>6</v>
      </c>
      <c r="I390" s="6">
        <f t="shared" si="16"/>
        <v>0</v>
      </c>
      <c r="J390" s="2" t="s">
        <v>31</v>
      </c>
    </row>
    <row r="391" spans="1:12" x14ac:dyDescent="0.25">
      <c r="A391" s="1">
        <v>40301</v>
      </c>
      <c r="B391" s="2" t="s">
        <v>36</v>
      </c>
      <c r="C391" t="s">
        <v>15</v>
      </c>
      <c r="D391" t="s">
        <v>208</v>
      </c>
      <c r="E391" s="2">
        <v>45780</v>
      </c>
      <c r="F391" s="2" cm="1">
        <f t="array" ref="F391">_xlfn.IFS(B391="Owner Surrender",E391,B391="Stray",E391+6,B391="Stray w/identification",E391+11,B391="Bite",E391+10,B391="Other",Blank)</f>
        <v>45780</v>
      </c>
      <c r="G391" s="2">
        <v>45786</v>
      </c>
      <c r="H391" s="6">
        <f t="shared" si="17"/>
        <v>6</v>
      </c>
      <c r="I391" s="6">
        <f t="shared" si="16"/>
        <v>6</v>
      </c>
      <c r="J391" s="2" t="s">
        <v>31</v>
      </c>
      <c r="K391" t="s">
        <v>380</v>
      </c>
    </row>
    <row r="392" spans="1:12" x14ac:dyDescent="0.25">
      <c r="A392" s="1">
        <v>40302</v>
      </c>
      <c r="B392" s="2" t="s">
        <v>38</v>
      </c>
      <c r="C392" t="s">
        <v>7</v>
      </c>
      <c r="D392" t="s">
        <v>208</v>
      </c>
      <c r="E392" s="2">
        <v>45780</v>
      </c>
      <c r="F392" s="2" cm="1">
        <f t="array" ref="F392">_xlfn.IFS(B392="Owner Surrender",E392,B392="Stray",E392+6,B392="Stray w/identification",E392+11,B392="Bite",E392+10,B392="Other",Blank)</f>
        <v>45786</v>
      </c>
      <c r="G392" s="2">
        <v>45786</v>
      </c>
      <c r="H392" s="6">
        <f t="shared" si="17"/>
        <v>6</v>
      </c>
      <c r="I392" s="6">
        <f t="shared" si="16"/>
        <v>0</v>
      </c>
      <c r="J392" s="2" t="s">
        <v>31</v>
      </c>
      <c r="L392" t="s">
        <v>381</v>
      </c>
    </row>
    <row r="393" spans="1:12" x14ac:dyDescent="0.25">
      <c r="A393" s="1">
        <v>40303</v>
      </c>
      <c r="B393" s="2" t="s">
        <v>36</v>
      </c>
      <c r="C393" t="s">
        <v>7</v>
      </c>
      <c r="D393" t="s">
        <v>208</v>
      </c>
      <c r="E393" s="2">
        <v>45780</v>
      </c>
      <c r="F393" s="2" cm="1">
        <f t="array" ref="F393">_xlfn.IFS(B393="Owner Surrender",E393,B393="Stray",E393+6,B393="Stray w/identification",E393+11,B393="Bite",E393+10,B393="Other",Blank)</f>
        <v>45780</v>
      </c>
      <c r="G393" s="2">
        <v>45800</v>
      </c>
      <c r="H393" s="6">
        <f t="shared" si="17"/>
        <v>20</v>
      </c>
      <c r="I393" s="6">
        <f t="shared" si="16"/>
        <v>20</v>
      </c>
      <c r="J393" s="2" t="s">
        <v>31</v>
      </c>
      <c r="K393" t="s">
        <v>317</v>
      </c>
    </row>
    <row r="394" spans="1:12" x14ac:dyDescent="0.25">
      <c r="A394" s="1">
        <v>40304</v>
      </c>
      <c r="B394" s="2" t="s">
        <v>38</v>
      </c>
      <c r="C394" t="s">
        <v>7</v>
      </c>
      <c r="D394" t="s">
        <v>209</v>
      </c>
      <c r="E394" s="2">
        <v>45780</v>
      </c>
      <c r="F394" s="2" cm="1">
        <f t="array" ref="F394">_xlfn.IFS(B394="Owner Surrender",E394,B394="Stray",E394+6,B394="Stray w/identification",E394+11,B394="Bite",E394+10,B394="Other",Blank)</f>
        <v>45786</v>
      </c>
      <c r="G394" s="2">
        <v>45791</v>
      </c>
      <c r="H394" s="6">
        <f t="shared" si="17"/>
        <v>11</v>
      </c>
      <c r="I394" s="6">
        <f t="shared" si="16"/>
        <v>5</v>
      </c>
      <c r="J394" s="2" t="s">
        <v>18</v>
      </c>
    </row>
    <row r="395" spans="1:12" x14ac:dyDescent="0.25">
      <c r="A395" s="1">
        <v>40305</v>
      </c>
      <c r="B395" s="2" t="s">
        <v>38</v>
      </c>
      <c r="C395" t="s">
        <v>7</v>
      </c>
      <c r="D395" t="s">
        <v>209</v>
      </c>
      <c r="E395" s="2">
        <v>45780</v>
      </c>
      <c r="F395" s="2" cm="1">
        <f t="array" ref="F395">_xlfn.IFS(B395="Owner Surrender",E395,B395="Stray",E395+6,B395="Stray w/identification",E395+11,B395="Bite",E395+10,B395="Other",Blank)</f>
        <v>45786</v>
      </c>
      <c r="G395" s="2">
        <v>45791</v>
      </c>
      <c r="H395" s="6">
        <f t="shared" si="17"/>
        <v>11</v>
      </c>
      <c r="I395" s="6">
        <f t="shared" si="16"/>
        <v>5</v>
      </c>
      <c r="J395" s="2" t="s">
        <v>18</v>
      </c>
    </row>
    <row r="396" spans="1:12" x14ac:dyDescent="0.25">
      <c r="A396" s="1">
        <v>40307</v>
      </c>
      <c r="B396" s="2" t="s">
        <v>38</v>
      </c>
      <c r="C396" t="s">
        <v>10</v>
      </c>
      <c r="D396" t="s">
        <v>208</v>
      </c>
      <c r="E396" s="2">
        <v>45781</v>
      </c>
      <c r="F396" s="2" cm="1">
        <f t="array" ref="F396">_xlfn.IFS(B396="Owner Surrender",E396,B396="Stray",E396+6,B396="Stray w/identification",E396+11,B396="Bite",E396+10,B396="Other",Blank)</f>
        <v>45787</v>
      </c>
      <c r="G396" s="2">
        <v>45791</v>
      </c>
      <c r="H396" s="6">
        <f t="shared" si="17"/>
        <v>10</v>
      </c>
      <c r="I396" s="6">
        <f t="shared" si="16"/>
        <v>4</v>
      </c>
      <c r="J396" s="2" t="s">
        <v>18</v>
      </c>
      <c r="K396" t="s">
        <v>380</v>
      </c>
    </row>
    <row r="397" spans="1:12" x14ac:dyDescent="0.25">
      <c r="A397" s="1">
        <v>40308</v>
      </c>
      <c r="B397" s="2" t="s">
        <v>38</v>
      </c>
      <c r="C397" t="s">
        <v>7</v>
      </c>
      <c r="D397" t="s">
        <v>210</v>
      </c>
      <c r="E397" s="2">
        <v>45781</v>
      </c>
      <c r="F397" s="2" cm="1">
        <f t="array" ref="F397">_xlfn.IFS(B397="Owner Surrender",E397,B397="Stray",E397+6,B397="Stray w/identification",E397+11,B397="Bite",E397+10,B397="Other",Blank)</f>
        <v>45787</v>
      </c>
      <c r="G397" s="2">
        <v>45791</v>
      </c>
      <c r="H397" s="6">
        <f t="shared" si="17"/>
        <v>10</v>
      </c>
      <c r="I397" s="6">
        <f t="shared" si="16"/>
        <v>4</v>
      </c>
      <c r="J397" s="2" t="s">
        <v>18</v>
      </c>
      <c r="K397" t="s">
        <v>86</v>
      </c>
    </row>
    <row r="398" spans="1:12" x14ac:dyDescent="0.25">
      <c r="A398" s="1">
        <v>40311</v>
      </c>
      <c r="B398" s="2" t="s">
        <v>36</v>
      </c>
      <c r="C398" t="s">
        <v>10</v>
      </c>
      <c r="D398" t="s">
        <v>208</v>
      </c>
      <c r="E398" s="2">
        <v>45782</v>
      </c>
      <c r="F398" s="2" cm="1">
        <f t="array" ref="F398">_xlfn.IFS(B398="Owner Surrender",E398,B398="Stray",E398+6,B398="Stray w/identification",E398+11,B398="Bite",E398+10,B398="Other",Blank)</f>
        <v>45782</v>
      </c>
      <c r="G398" s="2">
        <v>45786</v>
      </c>
      <c r="H398" s="6">
        <f t="shared" si="17"/>
        <v>4</v>
      </c>
      <c r="I398" s="6">
        <f t="shared" si="16"/>
        <v>4</v>
      </c>
      <c r="J398" s="2" t="s">
        <v>31</v>
      </c>
    </row>
    <row r="399" spans="1:12" x14ac:dyDescent="0.25">
      <c r="A399" s="1">
        <v>40312</v>
      </c>
      <c r="B399" s="2" t="s">
        <v>36</v>
      </c>
      <c r="C399" t="s">
        <v>10</v>
      </c>
      <c r="D399" t="s">
        <v>208</v>
      </c>
      <c r="E399" s="2">
        <v>45782</v>
      </c>
      <c r="F399" s="2" cm="1">
        <f t="array" ref="F399">_xlfn.IFS(B399="Owner Surrender",E399,B399="Stray",E399+6,B399="Stray w/identification",E399+11,B399="Bite",E399+10,B399="Other",Blank)</f>
        <v>45782</v>
      </c>
      <c r="G399" s="2">
        <v>45791</v>
      </c>
      <c r="H399" s="6">
        <f t="shared" si="17"/>
        <v>9</v>
      </c>
      <c r="I399" s="6">
        <f t="shared" si="16"/>
        <v>9</v>
      </c>
      <c r="J399" s="2" t="s">
        <v>18</v>
      </c>
    </row>
    <row r="400" spans="1:12" x14ac:dyDescent="0.25">
      <c r="A400" s="1">
        <v>40313</v>
      </c>
      <c r="B400" s="2" t="s">
        <v>36</v>
      </c>
      <c r="C400" t="s">
        <v>10</v>
      </c>
      <c r="D400" t="s">
        <v>208</v>
      </c>
      <c r="E400" s="2">
        <v>45782</v>
      </c>
      <c r="F400" s="2" cm="1">
        <f t="array" ref="F400">_xlfn.IFS(B400="Owner Surrender",E400,B400="Stray",E400+6,B400="Stray w/identification",E400+11,B400="Bite",E400+10,B400="Other",Blank)</f>
        <v>45782</v>
      </c>
      <c r="G400" s="2">
        <v>45784</v>
      </c>
      <c r="H400" s="6">
        <f t="shared" si="17"/>
        <v>2</v>
      </c>
      <c r="I400" s="6">
        <f t="shared" si="16"/>
        <v>2</v>
      </c>
      <c r="J400" s="2" t="s">
        <v>31</v>
      </c>
    </row>
    <row r="401" spans="1:12" x14ac:dyDescent="0.25">
      <c r="A401" s="1">
        <v>40314</v>
      </c>
      <c r="B401" s="2" t="s">
        <v>36</v>
      </c>
      <c r="C401" t="s">
        <v>7</v>
      </c>
      <c r="D401" t="s">
        <v>210</v>
      </c>
      <c r="E401" s="2">
        <v>45782</v>
      </c>
      <c r="F401" s="2" cm="1">
        <f t="array" ref="F401">_xlfn.IFS(B401="Owner Surrender",E401,B401="Stray",E401+6,B401="Stray w/identification",E401+11,B401="Bite",E401+10,B401="Other",Blank)</f>
        <v>45782</v>
      </c>
      <c r="G401" s="2">
        <v>45784</v>
      </c>
      <c r="H401" s="6">
        <f t="shared" si="17"/>
        <v>2</v>
      </c>
      <c r="I401" s="6">
        <f t="shared" si="16"/>
        <v>2</v>
      </c>
      <c r="J401" s="2" t="s">
        <v>31</v>
      </c>
    </row>
    <row r="402" spans="1:12" x14ac:dyDescent="0.25">
      <c r="A402" s="1">
        <v>40316</v>
      </c>
      <c r="B402" s="2" t="s">
        <v>38</v>
      </c>
      <c r="C402" t="s">
        <v>7</v>
      </c>
      <c r="D402" t="s">
        <v>209</v>
      </c>
      <c r="E402" s="2">
        <v>45782</v>
      </c>
      <c r="F402" s="2" cm="1">
        <f t="array" ref="F402">_xlfn.IFS(B402="Owner Surrender",E402,B402="Stray",E402+6,B402="Stray w/identification",E402+11,B402="Bite",E402+10,B402="Other",Blank)</f>
        <v>45788</v>
      </c>
      <c r="H402" s="6">
        <f t="shared" si="17"/>
        <v>-45782</v>
      </c>
      <c r="I402" s="6">
        <f t="shared" si="16"/>
        <v>-45788</v>
      </c>
      <c r="J402" s="16" t="s">
        <v>21</v>
      </c>
    </row>
    <row r="403" spans="1:12" x14ac:dyDescent="0.25">
      <c r="A403" s="1">
        <v>40317</v>
      </c>
      <c r="B403" s="2" t="s">
        <v>36</v>
      </c>
      <c r="C403" t="s">
        <v>7</v>
      </c>
      <c r="D403" t="s">
        <v>208</v>
      </c>
      <c r="E403" s="2">
        <v>45782</v>
      </c>
      <c r="F403" s="2" cm="1">
        <f t="array" ref="F403">_xlfn.IFS(B403="Owner Surrender",E403,B403="Stray",E403+6,B403="Stray w/identification",E403+11,B403="Bite",E403+10,B403="Other",Blank)</f>
        <v>45782</v>
      </c>
      <c r="G403" s="2">
        <v>45786</v>
      </c>
      <c r="H403" s="6">
        <f t="shared" si="17"/>
        <v>4</v>
      </c>
      <c r="I403" s="6">
        <f t="shared" si="16"/>
        <v>4</v>
      </c>
      <c r="J403" s="2" t="s">
        <v>31</v>
      </c>
    </row>
    <row r="404" spans="1:12" x14ac:dyDescent="0.25">
      <c r="A404" s="1">
        <v>40318</v>
      </c>
      <c r="B404" s="2" t="s">
        <v>38</v>
      </c>
      <c r="C404" t="s">
        <v>7</v>
      </c>
      <c r="D404" t="s">
        <v>208</v>
      </c>
      <c r="E404" s="2">
        <v>45782</v>
      </c>
      <c r="F404" s="2" cm="1">
        <f t="array" ref="F404">_xlfn.IFS(B404="Owner Surrender",E404,B404="Stray",E404+6,B404="Stray w/identification",E404+11,B404="Bite",E404+10,B404="Other",Blank)</f>
        <v>45788</v>
      </c>
      <c r="G404" s="2">
        <v>45791</v>
      </c>
      <c r="H404" s="6">
        <f t="shared" si="17"/>
        <v>9</v>
      </c>
      <c r="I404" s="6">
        <f t="shared" si="16"/>
        <v>3</v>
      </c>
      <c r="J404" s="2" t="s">
        <v>18</v>
      </c>
      <c r="L404" t="s">
        <v>24</v>
      </c>
    </row>
    <row r="405" spans="1:12" x14ac:dyDescent="0.25">
      <c r="A405" s="1">
        <v>40319</v>
      </c>
      <c r="B405" s="2" t="s">
        <v>36</v>
      </c>
      <c r="C405" t="s">
        <v>15</v>
      </c>
      <c r="D405" t="s">
        <v>209</v>
      </c>
      <c r="E405" s="2">
        <v>45783</v>
      </c>
      <c r="F405" s="2" cm="1">
        <f t="array" ref="F405">_xlfn.IFS(B405="Owner Surrender",E405,B405="Stray",E405+6,B405="Stray w/identification",E405+11,B405="Bite",E405+10,B405="Other",Blank)</f>
        <v>45783</v>
      </c>
      <c r="G405" s="2">
        <v>45786</v>
      </c>
      <c r="H405" s="6">
        <f t="shared" si="17"/>
        <v>3</v>
      </c>
      <c r="I405" s="6">
        <f t="shared" si="16"/>
        <v>3</v>
      </c>
      <c r="J405" s="2" t="s">
        <v>31</v>
      </c>
    </row>
    <row r="406" spans="1:12" x14ac:dyDescent="0.25">
      <c r="A406" s="1">
        <v>40320</v>
      </c>
      <c r="B406" s="2" t="s">
        <v>36</v>
      </c>
      <c r="C406" t="s">
        <v>15</v>
      </c>
      <c r="D406" t="s">
        <v>208</v>
      </c>
      <c r="E406" s="2">
        <v>45783</v>
      </c>
      <c r="F406" s="2" cm="1">
        <f t="array" ref="F406">_xlfn.IFS(B406="Owner Surrender",E406,B406="Stray",E406+6,B406="Stray w/identification",E406+11,B406="Bite",E406+10,B406="Other",Blank)</f>
        <v>45783</v>
      </c>
      <c r="G406" s="2">
        <v>45786</v>
      </c>
      <c r="H406" s="6">
        <f t="shared" si="17"/>
        <v>3</v>
      </c>
      <c r="I406" s="6">
        <f t="shared" si="16"/>
        <v>3</v>
      </c>
      <c r="J406" s="2" t="s">
        <v>31</v>
      </c>
    </row>
    <row r="407" spans="1:12" x14ac:dyDescent="0.25">
      <c r="A407" s="1">
        <v>40321</v>
      </c>
      <c r="B407" s="2" t="s">
        <v>36</v>
      </c>
      <c r="C407" t="s">
        <v>7</v>
      </c>
      <c r="D407" t="s">
        <v>208</v>
      </c>
      <c r="E407" s="2">
        <v>45783</v>
      </c>
      <c r="F407" s="2" cm="1">
        <f t="array" ref="F407">_xlfn.IFS(B407="Owner Surrender",E407,B407="Stray",E407+6,B407="Stray w/identification",E407+11,B407="Bite",E407+10,B407="Other",Blank)</f>
        <v>45783</v>
      </c>
      <c r="G407" s="2">
        <v>45797</v>
      </c>
      <c r="H407" s="6">
        <f t="shared" si="17"/>
        <v>14</v>
      </c>
      <c r="I407" s="6">
        <f t="shared" si="16"/>
        <v>14</v>
      </c>
      <c r="J407" s="2" t="s">
        <v>18</v>
      </c>
    </row>
    <row r="408" spans="1:12" x14ac:dyDescent="0.25">
      <c r="A408" s="1">
        <v>40322</v>
      </c>
      <c r="B408" s="2" t="s">
        <v>36</v>
      </c>
      <c r="C408" t="s">
        <v>7</v>
      </c>
      <c r="D408" t="s">
        <v>209</v>
      </c>
      <c r="E408" s="2">
        <v>45783</v>
      </c>
      <c r="F408" s="2" cm="1">
        <f t="array" ref="F408">_xlfn.IFS(B408="Owner Surrender",E408,B408="Stray",E408+6,B408="Stray w/identification",E408+11,B408="Bite",E408+10,B408="Other",Blank)</f>
        <v>45783</v>
      </c>
      <c r="G408" s="2">
        <v>45797</v>
      </c>
      <c r="H408" s="6">
        <f t="shared" si="17"/>
        <v>14</v>
      </c>
      <c r="I408" s="6">
        <f t="shared" si="16"/>
        <v>14</v>
      </c>
      <c r="J408" s="2" t="s">
        <v>18</v>
      </c>
    </row>
    <row r="409" spans="1:12" x14ac:dyDescent="0.25">
      <c r="A409" s="1">
        <v>40323</v>
      </c>
      <c r="B409" s="2" t="s">
        <v>36</v>
      </c>
      <c r="C409" t="s">
        <v>7</v>
      </c>
      <c r="D409" t="s">
        <v>209</v>
      </c>
      <c r="E409" s="2">
        <v>45783</v>
      </c>
      <c r="F409" s="2" cm="1">
        <f t="array" ref="F409">_xlfn.IFS(B409="Owner Surrender",E409,B409="Stray",E409+6,B409="Stray w/identification",E409+11,B409="Bite",E409+10,B409="Other",Blank)</f>
        <v>45783</v>
      </c>
      <c r="G409" s="2">
        <v>45797</v>
      </c>
      <c r="H409" s="6">
        <f t="shared" si="17"/>
        <v>14</v>
      </c>
      <c r="I409" s="6">
        <f t="shared" si="16"/>
        <v>14</v>
      </c>
      <c r="J409" s="2" t="s">
        <v>18</v>
      </c>
    </row>
    <row r="410" spans="1:12" x14ac:dyDescent="0.25">
      <c r="A410" s="1">
        <v>40324</v>
      </c>
      <c r="B410" s="2" t="s">
        <v>36</v>
      </c>
      <c r="C410" t="s">
        <v>7</v>
      </c>
      <c r="D410" t="s">
        <v>209</v>
      </c>
      <c r="E410" s="2">
        <v>45783</v>
      </c>
      <c r="F410" s="2" cm="1">
        <f t="array" ref="F410">_xlfn.IFS(B410="Owner Surrender",E410,B410="Stray",E410+6,B410="Stray w/identification",E410+11,B410="Bite",E410+10,B410="Other",Blank)</f>
        <v>45783</v>
      </c>
      <c r="G410" s="2">
        <v>45797</v>
      </c>
      <c r="H410" s="6">
        <f t="shared" si="17"/>
        <v>14</v>
      </c>
      <c r="I410" s="6">
        <f t="shared" si="16"/>
        <v>14</v>
      </c>
      <c r="J410" s="2" t="s">
        <v>18</v>
      </c>
    </row>
    <row r="411" spans="1:12" x14ac:dyDescent="0.25">
      <c r="A411" s="1">
        <v>40325</v>
      </c>
      <c r="B411" s="2" t="s">
        <v>36</v>
      </c>
      <c r="C411" t="s">
        <v>7</v>
      </c>
      <c r="D411" t="s">
        <v>209</v>
      </c>
      <c r="E411" s="2">
        <v>45783</v>
      </c>
      <c r="F411" s="2" cm="1">
        <f t="array" ref="F411">_xlfn.IFS(B411="Owner Surrender",E411,B411="Stray",E411+6,B411="Stray w/identification",E411+11,B411="Bite",E411+10,B411="Other",Blank)</f>
        <v>45783</v>
      </c>
      <c r="G411" s="2">
        <v>45797</v>
      </c>
      <c r="H411" s="6">
        <f t="shared" si="17"/>
        <v>14</v>
      </c>
      <c r="I411" s="6">
        <f t="shared" si="16"/>
        <v>14</v>
      </c>
      <c r="J411" s="2" t="s">
        <v>18</v>
      </c>
    </row>
    <row r="412" spans="1:12" x14ac:dyDescent="0.25">
      <c r="A412" s="1">
        <v>40326</v>
      </c>
      <c r="B412" s="2" t="s">
        <v>36</v>
      </c>
      <c r="C412" t="s">
        <v>7</v>
      </c>
      <c r="D412" t="s">
        <v>209</v>
      </c>
      <c r="E412" s="2">
        <v>45783</v>
      </c>
      <c r="F412" s="2" cm="1">
        <f t="array" ref="F412">_xlfn.IFS(B412="Owner Surrender",E412,B412="Stray",E412+6,B412="Stray w/identification",E412+11,B412="Bite",E412+10,B412="Other",Blank)</f>
        <v>45783</v>
      </c>
      <c r="G412" s="2">
        <v>45797</v>
      </c>
      <c r="H412" s="6">
        <f t="shared" si="17"/>
        <v>14</v>
      </c>
      <c r="I412" s="6">
        <f t="shared" si="16"/>
        <v>14</v>
      </c>
      <c r="J412" s="2" t="s">
        <v>18</v>
      </c>
    </row>
    <row r="413" spans="1:12" x14ac:dyDescent="0.25">
      <c r="A413" s="1">
        <v>40327</v>
      </c>
      <c r="B413" s="2" t="s">
        <v>38</v>
      </c>
      <c r="C413" t="s">
        <v>7</v>
      </c>
      <c r="D413" t="s">
        <v>209</v>
      </c>
      <c r="E413" s="2">
        <v>45782</v>
      </c>
      <c r="F413" s="2" cm="1">
        <f t="array" ref="F413">_xlfn.IFS(B413="Owner Surrender",E413,B413="Stray",E413+6,B413="Stray w/identification",E413+11,B413="Bite",E413+10,B413="Other",Blank)</f>
        <v>45788</v>
      </c>
      <c r="G413" s="2">
        <v>45791</v>
      </c>
      <c r="H413" s="6">
        <f t="shared" si="17"/>
        <v>9</v>
      </c>
      <c r="I413" s="6">
        <f t="shared" si="16"/>
        <v>3</v>
      </c>
      <c r="J413" s="2" t="s">
        <v>18</v>
      </c>
    </row>
    <row r="414" spans="1:12" x14ac:dyDescent="0.25">
      <c r="A414" s="1">
        <v>40333</v>
      </c>
      <c r="B414" s="2" t="s">
        <v>36</v>
      </c>
      <c r="C414" t="s">
        <v>7</v>
      </c>
      <c r="D414" t="s">
        <v>208</v>
      </c>
      <c r="E414" s="2">
        <v>45783</v>
      </c>
      <c r="F414" s="2" cm="1">
        <f t="array" ref="F414">_xlfn.IFS(B414="Owner Surrender",E414,B414="Stray",E414+6,B414="Stray w/identification",E414+11,B414="Bite",E414+10,B414="Other",Blank)</f>
        <v>45783</v>
      </c>
      <c r="G414" s="2">
        <v>45786</v>
      </c>
      <c r="H414" s="6">
        <f t="shared" si="17"/>
        <v>3</v>
      </c>
      <c r="I414" s="6">
        <f t="shared" si="16"/>
        <v>3</v>
      </c>
      <c r="J414" s="2" t="s">
        <v>31</v>
      </c>
    </row>
    <row r="415" spans="1:12" x14ac:dyDescent="0.25">
      <c r="A415" s="1">
        <v>40337</v>
      </c>
      <c r="B415" s="2" t="s">
        <v>36</v>
      </c>
      <c r="C415" t="s">
        <v>7</v>
      </c>
      <c r="D415" t="s">
        <v>209</v>
      </c>
      <c r="E415" s="2">
        <v>45784</v>
      </c>
      <c r="F415" s="2" cm="1">
        <f t="array" ref="F415">_xlfn.IFS(B415="Owner Surrender",E415,B415="Stray",E415+6,B415="Stray w/identification",E415+11,B415="Bite",E415+10,B415="Other",Blank)</f>
        <v>45784</v>
      </c>
      <c r="G415" s="2">
        <v>45791</v>
      </c>
      <c r="H415" s="6">
        <f t="shared" si="17"/>
        <v>7</v>
      </c>
      <c r="I415" s="6">
        <f t="shared" si="16"/>
        <v>7</v>
      </c>
      <c r="J415" s="2" t="s">
        <v>18</v>
      </c>
    </row>
    <row r="416" spans="1:12" x14ac:dyDescent="0.25">
      <c r="A416" s="1">
        <v>40338</v>
      </c>
      <c r="B416" s="2" t="s">
        <v>36</v>
      </c>
      <c r="C416" t="s">
        <v>7</v>
      </c>
      <c r="D416" t="s">
        <v>209</v>
      </c>
      <c r="E416" s="2">
        <v>45784</v>
      </c>
      <c r="F416" s="2" cm="1">
        <f t="array" ref="F416">_xlfn.IFS(B416="Owner Surrender",E416,B416="Stray",E416+6,B416="Stray w/identification",E416+11,B416="Bite",E416+10,B416="Other",Blank)</f>
        <v>45784</v>
      </c>
      <c r="G416" s="2">
        <v>45791</v>
      </c>
      <c r="H416" s="6">
        <f t="shared" si="17"/>
        <v>7</v>
      </c>
      <c r="I416" s="6">
        <f t="shared" si="16"/>
        <v>7</v>
      </c>
      <c r="J416" s="2" t="s">
        <v>18</v>
      </c>
    </row>
    <row r="417" spans="1:12" x14ac:dyDescent="0.25">
      <c r="A417" s="1">
        <v>40339</v>
      </c>
      <c r="B417" s="2" t="s">
        <v>36</v>
      </c>
      <c r="C417" t="s">
        <v>7</v>
      </c>
      <c r="D417" t="s">
        <v>209</v>
      </c>
      <c r="E417" s="2">
        <v>45784</v>
      </c>
      <c r="F417" s="2" cm="1">
        <f t="array" ref="F417">_xlfn.IFS(B417="Owner Surrender",E417,B417="Stray",E417+6,B417="Stray w/identification",E417+11,B417="Bite",E417+10,B417="Other",Blank)</f>
        <v>45784</v>
      </c>
      <c r="G417" s="2">
        <v>45791</v>
      </c>
      <c r="H417" s="6">
        <f t="shared" si="17"/>
        <v>7</v>
      </c>
      <c r="I417" s="6">
        <f t="shared" si="16"/>
        <v>7</v>
      </c>
      <c r="J417" s="2" t="s">
        <v>18</v>
      </c>
    </row>
    <row r="418" spans="1:12" x14ac:dyDescent="0.25">
      <c r="A418" s="1">
        <v>40340</v>
      </c>
      <c r="B418" s="2" t="s">
        <v>36</v>
      </c>
      <c r="C418" t="s">
        <v>7</v>
      </c>
      <c r="D418" t="s">
        <v>209</v>
      </c>
      <c r="E418" s="2">
        <v>45784</v>
      </c>
      <c r="F418" s="2" cm="1">
        <f t="array" ref="F418">_xlfn.IFS(B418="Owner Surrender",E418,B418="Stray",E418+6,B418="Stray w/identification",E418+11,B418="Bite",E418+10,B418="Other",Blank)</f>
        <v>45784</v>
      </c>
      <c r="G418" s="2">
        <v>45791</v>
      </c>
      <c r="H418" s="6">
        <f t="shared" si="17"/>
        <v>7</v>
      </c>
      <c r="I418" s="6">
        <f t="shared" si="16"/>
        <v>7</v>
      </c>
      <c r="J418" s="2" t="s">
        <v>18</v>
      </c>
    </row>
    <row r="419" spans="1:12" x14ac:dyDescent="0.25">
      <c r="A419" s="1">
        <v>40341</v>
      </c>
      <c r="B419" s="2" t="s">
        <v>36</v>
      </c>
      <c r="C419" t="s">
        <v>7</v>
      </c>
      <c r="D419" t="s">
        <v>209</v>
      </c>
      <c r="E419" s="2">
        <v>45784</v>
      </c>
      <c r="F419" s="2" cm="1">
        <f t="array" ref="F419">_xlfn.IFS(B419="Owner Surrender",E419,B419="Stray",E419+6,B419="Stray w/identification",E419+11,B419="Bite",E419+10,B419="Other",Blank)</f>
        <v>45784</v>
      </c>
      <c r="G419" s="2">
        <v>45791</v>
      </c>
      <c r="H419" s="6">
        <f t="shared" si="17"/>
        <v>7</v>
      </c>
      <c r="I419" s="6">
        <f t="shared" si="16"/>
        <v>7</v>
      </c>
      <c r="J419" s="2" t="s">
        <v>18</v>
      </c>
    </row>
    <row r="420" spans="1:12" x14ac:dyDescent="0.25">
      <c r="A420" s="1">
        <v>40343</v>
      </c>
      <c r="B420" s="2" t="s">
        <v>38</v>
      </c>
      <c r="C420" t="s">
        <v>7</v>
      </c>
      <c r="D420" t="s">
        <v>209</v>
      </c>
      <c r="E420" s="2">
        <v>45784</v>
      </c>
      <c r="F420" s="2" cm="1">
        <f t="array" ref="F420">_xlfn.IFS(B420="Owner Surrender",E420,B420="Stray",E420+6,B420="Stray w/identification",E420+11,B420="Bite",E420+10,B420="Other",Blank)</f>
        <v>45790</v>
      </c>
      <c r="G420" s="2">
        <v>45791</v>
      </c>
      <c r="H420" s="6">
        <f t="shared" si="17"/>
        <v>7</v>
      </c>
      <c r="I420" s="6">
        <f t="shared" si="16"/>
        <v>1</v>
      </c>
      <c r="J420" s="2" t="s">
        <v>11</v>
      </c>
      <c r="L420" t="s">
        <v>24</v>
      </c>
    </row>
    <row r="421" spans="1:12" x14ac:dyDescent="0.25">
      <c r="A421" s="1">
        <v>40344</v>
      </c>
      <c r="B421" s="2" t="s">
        <v>36</v>
      </c>
      <c r="C421" t="s">
        <v>10</v>
      </c>
      <c r="D421" t="s">
        <v>208</v>
      </c>
      <c r="E421" s="2">
        <v>45784</v>
      </c>
      <c r="F421" s="2" cm="1">
        <f t="array" ref="F421">_xlfn.IFS(B421="Owner Surrender",E421,B421="Stray",E421+6,B421="Stray w/identification",E421+11,B421="Bite",E421+10,B421="Other",Blank)</f>
        <v>45784</v>
      </c>
      <c r="G421" s="2">
        <v>45791</v>
      </c>
      <c r="H421" s="6">
        <f t="shared" si="17"/>
        <v>7</v>
      </c>
      <c r="I421" s="6">
        <f t="shared" si="16"/>
        <v>7</v>
      </c>
      <c r="J421" s="2" t="s">
        <v>18</v>
      </c>
    </row>
    <row r="422" spans="1:12" x14ac:dyDescent="0.25">
      <c r="A422" s="1">
        <v>40345</v>
      </c>
      <c r="B422" s="2" t="s">
        <v>36</v>
      </c>
      <c r="C422" t="s">
        <v>7</v>
      </c>
      <c r="D422" t="s">
        <v>209</v>
      </c>
      <c r="E422" s="2">
        <v>45784</v>
      </c>
      <c r="F422" s="2" cm="1">
        <f t="array" ref="F422">_xlfn.IFS(B422="Owner Surrender",E422,B422="Stray",E422+6,B422="Stray w/identification",E422+11,B422="Bite",E422+10,B422="Other",Blank)</f>
        <v>45784</v>
      </c>
      <c r="G422" s="2">
        <v>45791</v>
      </c>
      <c r="H422" s="6">
        <f t="shared" si="17"/>
        <v>7</v>
      </c>
      <c r="I422" s="6">
        <f t="shared" ref="I422:I485" si="18">G422-F422</f>
        <v>7</v>
      </c>
      <c r="J422" s="2" t="s">
        <v>18</v>
      </c>
    </row>
    <row r="423" spans="1:12" x14ac:dyDescent="0.25">
      <c r="A423" s="1">
        <v>40346</v>
      </c>
      <c r="B423" s="2" t="s">
        <v>36</v>
      </c>
      <c r="C423" t="s">
        <v>7</v>
      </c>
      <c r="D423" t="s">
        <v>209</v>
      </c>
      <c r="E423" s="2">
        <v>45784</v>
      </c>
      <c r="F423" s="2" cm="1">
        <f t="array" ref="F423">_xlfn.IFS(B423="Owner Surrender",E423,B423="Stray",E423+6,B423="Stray w/identification",E423+11,B423="Bite",E423+10,B423="Other",Blank)</f>
        <v>45784</v>
      </c>
      <c r="G423" s="2">
        <v>45791</v>
      </c>
      <c r="H423" s="6">
        <f t="shared" si="17"/>
        <v>7</v>
      </c>
      <c r="I423" s="6">
        <f t="shared" si="18"/>
        <v>7</v>
      </c>
      <c r="J423" s="2" t="s">
        <v>18</v>
      </c>
    </row>
    <row r="424" spans="1:12" x14ac:dyDescent="0.25">
      <c r="A424" s="1">
        <v>40347</v>
      </c>
      <c r="B424" s="2" t="s">
        <v>36</v>
      </c>
      <c r="C424" t="s">
        <v>7</v>
      </c>
      <c r="D424" t="s">
        <v>209</v>
      </c>
      <c r="E424" s="2">
        <v>45784</v>
      </c>
      <c r="F424" s="2" cm="1">
        <f t="array" ref="F424">_xlfn.IFS(B424="Owner Surrender",E424,B424="Stray",E424+6,B424="Stray w/identification",E424+11,B424="Bite",E424+10,B424="Other",Blank)</f>
        <v>45784</v>
      </c>
      <c r="G424" s="2">
        <v>45791</v>
      </c>
      <c r="H424" s="6">
        <f t="shared" ref="H424:H487" si="19">+G424-E424</f>
        <v>7</v>
      </c>
      <c r="I424" s="6">
        <f t="shared" si="18"/>
        <v>7</v>
      </c>
      <c r="J424" s="2" t="s">
        <v>18</v>
      </c>
    </row>
    <row r="425" spans="1:12" x14ac:dyDescent="0.25">
      <c r="A425" s="1">
        <v>40348</v>
      </c>
      <c r="B425" s="2" t="s">
        <v>36</v>
      </c>
      <c r="C425" t="s">
        <v>7</v>
      </c>
      <c r="D425" t="s">
        <v>209</v>
      </c>
      <c r="E425" s="2">
        <v>45784</v>
      </c>
      <c r="F425" s="2" cm="1">
        <f t="array" ref="F425">_xlfn.IFS(B425="Owner Surrender",E425,B425="Stray",E425+6,B425="Stray w/identification",E425+11,B425="Bite",E425+10,B425="Other",Blank)</f>
        <v>45784</v>
      </c>
      <c r="G425" s="2">
        <v>45791</v>
      </c>
      <c r="H425" s="6">
        <f t="shared" si="19"/>
        <v>7</v>
      </c>
      <c r="I425" s="6">
        <f t="shared" si="18"/>
        <v>7</v>
      </c>
      <c r="J425" s="2" t="s">
        <v>18</v>
      </c>
    </row>
    <row r="426" spans="1:12" x14ac:dyDescent="0.25">
      <c r="A426" s="1">
        <v>40350</v>
      </c>
      <c r="B426" s="2" t="s">
        <v>36</v>
      </c>
      <c r="C426" t="s">
        <v>7</v>
      </c>
      <c r="D426" t="s">
        <v>208</v>
      </c>
      <c r="E426" s="2">
        <v>45784</v>
      </c>
      <c r="F426" s="2" cm="1">
        <f t="array" ref="F426">_xlfn.IFS(B426="Owner Surrender",E426,B426="Stray",E426+6,B426="Stray w/identification",E426+11,B426="Bite",E426+10,B426="Other",Blank)</f>
        <v>45784</v>
      </c>
      <c r="G426" s="2">
        <v>45786</v>
      </c>
      <c r="H426" s="6">
        <f t="shared" si="19"/>
        <v>2</v>
      </c>
      <c r="I426" s="6">
        <f t="shared" si="18"/>
        <v>2</v>
      </c>
      <c r="J426" s="2" t="s">
        <v>31</v>
      </c>
    </row>
    <row r="427" spans="1:12" x14ac:dyDescent="0.25">
      <c r="A427" s="1">
        <v>40360</v>
      </c>
      <c r="B427" s="2" t="s">
        <v>36</v>
      </c>
      <c r="C427" t="s">
        <v>10</v>
      </c>
      <c r="D427" t="s">
        <v>209</v>
      </c>
      <c r="E427" s="2">
        <v>45787</v>
      </c>
      <c r="F427" s="2" cm="1">
        <f t="array" ref="F427">_xlfn.IFS(B427="Owner Surrender",E427,B427="Stray",E427+6,B427="Stray w/identification",E427+11,B427="Bite",E427+10,B427="Other",Blank)</f>
        <v>45787</v>
      </c>
      <c r="G427" s="2">
        <v>45791</v>
      </c>
      <c r="H427" s="6">
        <f t="shared" si="19"/>
        <v>4</v>
      </c>
      <c r="I427" s="6">
        <f t="shared" si="18"/>
        <v>4</v>
      </c>
      <c r="J427" s="2" t="s">
        <v>18</v>
      </c>
    </row>
    <row r="428" spans="1:12" x14ac:dyDescent="0.25">
      <c r="A428" s="1">
        <v>40361</v>
      </c>
      <c r="B428" s="2" t="s">
        <v>38</v>
      </c>
      <c r="C428" t="s">
        <v>10</v>
      </c>
      <c r="D428" t="s">
        <v>209</v>
      </c>
      <c r="E428" s="2">
        <v>45787</v>
      </c>
      <c r="F428" s="2" cm="1">
        <f t="array" ref="F428">_xlfn.IFS(B428="Owner Surrender",E428,B428="Stray",E428+6,B428="Stray w/identification",E428+11,B428="Bite",E428+10,B428="Other",Blank)</f>
        <v>45793</v>
      </c>
      <c r="G428" s="2">
        <v>45791</v>
      </c>
      <c r="H428" s="6">
        <f t="shared" si="19"/>
        <v>4</v>
      </c>
      <c r="I428" s="6">
        <f t="shared" si="18"/>
        <v>-2</v>
      </c>
      <c r="J428" s="2" t="s">
        <v>18</v>
      </c>
    </row>
    <row r="429" spans="1:12" x14ac:dyDescent="0.25">
      <c r="A429" s="1">
        <v>40362</v>
      </c>
      <c r="B429" s="2" t="s">
        <v>36</v>
      </c>
      <c r="C429" t="s">
        <v>10</v>
      </c>
      <c r="D429" t="s">
        <v>209</v>
      </c>
      <c r="E429" s="2">
        <v>45787</v>
      </c>
      <c r="F429" s="2" cm="1">
        <f t="array" ref="F429">_xlfn.IFS(B429="Owner Surrender",E429,B429="Stray",E429+6,B429="Stray w/identification",E429+11,B429="Bite",E429+10,B429="Other",Blank)</f>
        <v>45787</v>
      </c>
      <c r="G429" s="2">
        <v>45791</v>
      </c>
      <c r="H429" s="6">
        <f t="shared" si="19"/>
        <v>4</v>
      </c>
      <c r="I429" s="6">
        <f t="shared" si="18"/>
        <v>4</v>
      </c>
      <c r="J429" s="2" t="s">
        <v>31</v>
      </c>
    </row>
    <row r="430" spans="1:12" x14ac:dyDescent="0.25">
      <c r="A430" s="1">
        <v>40365</v>
      </c>
      <c r="B430" s="2" t="s">
        <v>53</v>
      </c>
      <c r="C430" t="s">
        <v>7</v>
      </c>
      <c r="D430" t="s">
        <v>208</v>
      </c>
      <c r="E430" s="2">
        <v>45789</v>
      </c>
      <c r="F430" s="2" t="e" cm="1">
        <f t="array" ref="F430">_xlfn.IFS(B430="Owner Surrender",E430,B430="Stray",E430+6,B430="Stray w/identification",E430+11,B430="Bite",E430+10,B430="Other",Blank)</f>
        <v>#N/A</v>
      </c>
      <c r="G430" s="2">
        <v>45796</v>
      </c>
      <c r="H430" s="6">
        <f t="shared" si="19"/>
        <v>7</v>
      </c>
      <c r="I430" s="6" t="e">
        <f t="shared" si="18"/>
        <v>#N/A</v>
      </c>
      <c r="J430" s="2" t="s">
        <v>31</v>
      </c>
    </row>
    <row r="431" spans="1:12" x14ac:dyDescent="0.25">
      <c r="A431" s="1">
        <v>40366</v>
      </c>
      <c r="B431" s="2" t="s">
        <v>53</v>
      </c>
      <c r="C431" t="s">
        <v>7</v>
      </c>
      <c r="D431" t="s">
        <v>208</v>
      </c>
      <c r="E431" s="2">
        <v>45789</v>
      </c>
      <c r="F431" s="2" t="e" cm="1">
        <f t="array" ref="F431">_xlfn.IFS(B431="Owner Surrender",E431,B431="Stray",E431+6,B431="Stray w/identification",E431+11,B431="Bite",E431+10,B431="Other",Blank)</f>
        <v>#N/A</v>
      </c>
      <c r="G431" s="2">
        <v>45796</v>
      </c>
      <c r="H431" s="6">
        <f t="shared" si="19"/>
        <v>7</v>
      </c>
      <c r="I431" s="6" t="e">
        <f t="shared" si="18"/>
        <v>#N/A</v>
      </c>
      <c r="J431" s="2" t="s">
        <v>31</v>
      </c>
    </row>
    <row r="432" spans="1:12" x14ac:dyDescent="0.25">
      <c r="A432" s="1">
        <v>40367</v>
      </c>
      <c r="B432" s="2" t="s">
        <v>53</v>
      </c>
      <c r="C432" t="s">
        <v>7</v>
      </c>
      <c r="D432" t="s">
        <v>208</v>
      </c>
      <c r="E432" s="2">
        <v>45789</v>
      </c>
      <c r="F432" s="2" t="e" cm="1">
        <f t="array" ref="F432">_xlfn.IFS(B432="Owner Surrender",E432,B432="Stray",E432+6,B432="Stray w/identification",E432+11,B432="Bite",E432+10,B432="Other",Blank)</f>
        <v>#N/A</v>
      </c>
      <c r="G432" s="2">
        <v>45796</v>
      </c>
      <c r="H432" s="6">
        <f t="shared" si="19"/>
        <v>7</v>
      </c>
      <c r="I432" s="6" t="e">
        <f t="shared" si="18"/>
        <v>#N/A</v>
      </c>
      <c r="J432" s="2" t="s">
        <v>31</v>
      </c>
    </row>
    <row r="433" spans="1:12" x14ac:dyDescent="0.25">
      <c r="A433" s="1">
        <v>40369</v>
      </c>
      <c r="B433" s="2" t="s">
        <v>53</v>
      </c>
      <c r="C433" t="s">
        <v>7</v>
      </c>
      <c r="D433" t="s">
        <v>209</v>
      </c>
      <c r="E433" s="2">
        <v>45789</v>
      </c>
      <c r="F433" s="2" t="e" cm="1">
        <f t="array" ref="F433">_xlfn.IFS(B433="Owner Surrender",E433,B433="Stray",E433+6,B433="Stray w/identification",E433+11,B433="Bite",E433+10,B433="Other",Blank)</f>
        <v>#N/A</v>
      </c>
      <c r="G433" s="2">
        <v>45796</v>
      </c>
      <c r="H433" s="6">
        <f t="shared" si="19"/>
        <v>7</v>
      </c>
      <c r="I433" s="6" t="e">
        <f t="shared" si="18"/>
        <v>#N/A</v>
      </c>
      <c r="J433" s="2" t="s">
        <v>31</v>
      </c>
      <c r="L433" t="s">
        <v>388</v>
      </c>
    </row>
    <row r="434" spans="1:12" x14ac:dyDescent="0.25">
      <c r="A434" s="1">
        <v>40370</v>
      </c>
      <c r="B434" s="2" t="s">
        <v>53</v>
      </c>
      <c r="C434" t="s">
        <v>7</v>
      </c>
      <c r="D434" t="s">
        <v>209</v>
      </c>
      <c r="E434" s="2">
        <v>45789</v>
      </c>
      <c r="F434" s="2" t="e" cm="1">
        <f t="array" ref="F434">_xlfn.IFS(B434="Owner Surrender",E434,B434="Stray",E434+6,B434="Stray w/identification",E434+11,B434="Bite",E434+10,B434="Other",Blank)</f>
        <v>#N/A</v>
      </c>
      <c r="G434" s="2">
        <v>45796</v>
      </c>
      <c r="H434" s="6">
        <f t="shared" si="19"/>
        <v>7</v>
      </c>
      <c r="I434" s="6" t="e">
        <f t="shared" si="18"/>
        <v>#N/A</v>
      </c>
      <c r="J434" s="2" t="s">
        <v>31</v>
      </c>
      <c r="L434" t="s">
        <v>387</v>
      </c>
    </row>
    <row r="435" spans="1:12" x14ac:dyDescent="0.25">
      <c r="A435" s="1">
        <v>40371</v>
      </c>
      <c r="B435" s="2" t="s">
        <v>53</v>
      </c>
      <c r="C435" t="s">
        <v>7</v>
      </c>
      <c r="D435" t="s">
        <v>209</v>
      </c>
      <c r="E435" s="2">
        <v>45789</v>
      </c>
      <c r="F435" s="2" t="e" cm="1">
        <f t="array" ref="F435">_xlfn.IFS(B435="Owner Surrender",E435,B435="Stray",E435+6,B435="Stray w/identification",E435+11,B435="Bite",E435+10,B435="Other",Blank)</f>
        <v>#N/A</v>
      </c>
      <c r="G435" s="2">
        <v>45796</v>
      </c>
      <c r="H435" s="6">
        <f t="shared" si="19"/>
        <v>7</v>
      </c>
      <c r="I435" s="6" t="e">
        <f t="shared" si="18"/>
        <v>#N/A</v>
      </c>
      <c r="J435" s="2" t="s">
        <v>31</v>
      </c>
      <c r="L435" t="s">
        <v>33</v>
      </c>
    </row>
    <row r="436" spans="1:12" x14ac:dyDescent="0.25">
      <c r="A436" s="1">
        <v>40372</v>
      </c>
      <c r="B436" s="2" t="s">
        <v>53</v>
      </c>
      <c r="C436" t="s">
        <v>7</v>
      </c>
      <c r="D436" t="s">
        <v>209</v>
      </c>
      <c r="E436" s="2">
        <v>45789</v>
      </c>
      <c r="F436" s="2" t="e" cm="1">
        <f t="array" ref="F436">_xlfn.IFS(B436="Owner Surrender",E436,B436="Stray",E436+6,B436="Stray w/identification",E436+11,B436="Bite",E436+10,B436="Other",Blank)</f>
        <v>#N/A</v>
      </c>
      <c r="G436" s="2">
        <v>45796</v>
      </c>
      <c r="H436" s="6">
        <f t="shared" si="19"/>
        <v>7</v>
      </c>
      <c r="I436" s="6" t="e">
        <f t="shared" si="18"/>
        <v>#N/A</v>
      </c>
      <c r="J436" s="2" t="s">
        <v>31</v>
      </c>
      <c r="L436" t="s">
        <v>386</v>
      </c>
    </row>
    <row r="437" spans="1:12" x14ac:dyDescent="0.25">
      <c r="A437" s="1">
        <v>40373</v>
      </c>
      <c r="B437" s="2" t="s">
        <v>53</v>
      </c>
      <c r="C437" t="s">
        <v>7</v>
      </c>
      <c r="D437" t="s">
        <v>209</v>
      </c>
      <c r="E437" s="2">
        <v>45789</v>
      </c>
      <c r="F437" s="2" t="e" cm="1">
        <f t="array" ref="F437">_xlfn.IFS(B437="Owner Surrender",E437,B437="Stray",E437+6,B437="Stray w/identification",E437+11,B437="Bite",E437+10,B437="Other",Blank)</f>
        <v>#N/A</v>
      </c>
      <c r="G437" s="2">
        <v>45792</v>
      </c>
      <c r="H437" s="6">
        <f t="shared" si="19"/>
        <v>3</v>
      </c>
      <c r="I437" s="6" t="e">
        <f t="shared" si="18"/>
        <v>#N/A</v>
      </c>
      <c r="J437" s="2" t="s">
        <v>28</v>
      </c>
      <c r="L437" t="s">
        <v>386</v>
      </c>
    </row>
    <row r="438" spans="1:12" x14ac:dyDescent="0.25">
      <c r="A438" s="1">
        <v>40375</v>
      </c>
      <c r="B438" s="2" t="s">
        <v>38</v>
      </c>
      <c r="C438" t="s">
        <v>7</v>
      </c>
      <c r="D438" t="s">
        <v>208</v>
      </c>
      <c r="E438" s="2">
        <v>45788</v>
      </c>
      <c r="F438" s="2" cm="1">
        <f t="array" ref="F438">_xlfn.IFS(B438="Owner Surrender",E438,B438="Stray",E438+6,B438="Stray w/identification",E438+11,B438="Bite",E438+10,B438="Other",Blank)</f>
        <v>45794</v>
      </c>
      <c r="G438" s="2">
        <v>45796</v>
      </c>
      <c r="H438" s="6">
        <f t="shared" si="19"/>
        <v>8</v>
      </c>
      <c r="I438" s="6">
        <f t="shared" si="18"/>
        <v>2</v>
      </c>
      <c r="J438" s="2" t="s">
        <v>31</v>
      </c>
    </row>
    <row r="439" spans="1:12" x14ac:dyDescent="0.25">
      <c r="A439" s="1">
        <v>40376</v>
      </c>
      <c r="B439" s="2" t="s">
        <v>38</v>
      </c>
      <c r="C439" t="s">
        <v>7</v>
      </c>
      <c r="D439" t="s">
        <v>209</v>
      </c>
      <c r="E439" s="2">
        <v>45788</v>
      </c>
      <c r="F439" s="2" cm="1">
        <f t="array" ref="F439">_xlfn.IFS(B439="Owner Surrender",E439,B439="Stray",E439+6,B439="Stray w/identification",E439+11,B439="Bite",E439+10,B439="Other",Blank)</f>
        <v>45794</v>
      </c>
      <c r="G439" s="2">
        <v>45797</v>
      </c>
      <c r="H439" s="6">
        <f t="shared" si="19"/>
        <v>9</v>
      </c>
      <c r="I439" s="6">
        <f t="shared" si="18"/>
        <v>3</v>
      </c>
      <c r="J439" s="2" t="s">
        <v>18</v>
      </c>
    </row>
    <row r="440" spans="1:12" x14ac:dyDescent="0.25">
      <c r="A440" s="1">
        <v>40377</v>
      </c>
      <c r="B440" s="2" t="s">
        <v>38</v>
      </c>
      <c r="C440" t="s">
        <v>7</v>
      </c>
      <c r="D440" t="s">
        <v>209</v>
      </c>
      <c r="E440" s="2">
        <v>45788</v>
      </c>
      <c r="F440" s="2" cm="1">
        <f t="array" ref="F440">_xlfn.IFS(B440="Owner Surrender",E440,B440="Stray",E440+6,B440="Stray w/identification",E440+11,B440="Bite",E440+10,B440="Other",Blank)</f>
        <v>45794</v>
      </c>
      <c r="G440" s="2">
        <v>45797</v>
      </c>
      <c r="H440" s="6">
        <f t="shared" si="19"/>
        <v>9</v>
      </c>
      <c r="I440" s="6">
        <f t="shared" si="18"/>
        <v>3</v>
      </c>
      <c r="J440" s="2" t="s">
        <v>18</v>
      </c>
    </row>
    <row r="441" spans="1:12" x14ac:dyDescent="0.25">
      <c r="A441" s="1">
        <v>40378</v>
      </c>
      <c r="B441" s="2" t="s">
        <v>36</v>
      </c>
      <c r="C441" t="s">
        <v>7</v>
      </c>
      <c r="D441" t="s">
        <v>208</v>
      </c>
      <c r="E441" s="2">
        <v>45789</v>
      </c>
      <c r="F441" s="2" cm="1">
        <f t="array" ref="F441">_xlfn.IFS(B441="Owner Surrender",E441,B441="Stray",E441+6,B441="Stray w/identification",E441+11,B441="Bite",E441+10,B441="Other",Blank)</f>
        <v>45789</v>
      </c>
      <c r="G441" s="2">
        <v>45794</v>
      </c>
      <c r="H441" s="6">
        <f t="shared" si="19"/>
        <v>5</v>
      </c>
      <c r="I441" s="6">
        <f t="shared" si="18"/>
        <v>5</v>
      </c>
      <c r="J441" s="2" t="s">
        <v>18</v>
      </c>
    </row>
    <row r="442" spans="1:12" x14ac:dyDescent="0.25">
      <c r="A442" s="1">
        <v>40381</v>
      </c>
      <c r="B442" s="2" t="s">
        <v>38</v>
      </c>
      <c r="C442" t="s">
        <v>10</v>
      </c>
      <c r="D442" t="s">
        <v>208</v>
      </c>
      <c r="E442" s="2">
        <v>45789</v>
      </c>
      <c r="F442" s="2" cm="1">
        <f t="array" ref="F442">_xlfn.IFS(B442="Owner Surrender",E442,B442="Stray",E442+6,B442="Stray w/identification",E442+11,B442="Bite",E442+10,B442="Other",Blank)</f>
        <v>45795</v>
      </c>
      <c r="G442" s="2">
        <v>45797</v>
      </c>
      <c r="H442" s="6">
        <f t="shared" si="19"/>
        <v>8</v>
      </c>
      <c r="I442" s="6">
        <f t="shared" si="18"/>
        <v>2</v>
      </c>
      <c r="J442" s="2" t="s">
        <v>18</v>
      </c>
      <c r="L442" t="s">
        <v>34</v>
      </c>
    </row>
    <row r="443" spans="1:12" x14ac:dyDescent="0.25">
      <c r="A443" s="1">
        <v>40382</v>
      </c>
      <c r="B443" s="2" t="s">
        <v>36</v>
      </c>
      <c r="C443" t="s">
        <v>7</v>
      </c>
      <c r="D443" t="s">
        <v>208</v>
      </c>
      <c r="E443" s="2">
        <v>45789</v>
      </c>
      <c r="F443" s="2" cm="1">
        <f t="array" ref="F443">_xlfn.IFS(B443="Owner Surrender",E443,B443="Stray",E443+6,B443="Stray w/identification",E443+11,B443="Bite",E443+10,B443="Other",Blank)</f>
        <v>45789</v>
      </c>
      <c r="G443" s="2">
        <v>45789</v>
      </c>
      <c r="H443" s="6">
        <f t="shared" si="19"/>
        <v>0</v>
      </c>
      <c r="I443" s="6">
        <f t="shared" si="18"/>
        <v>0</v>
      </c>
      <c r="J443" s="2" t="s">
        <v>31</v>
      </c>
    </row>
    <row r="444" spans="1:12" x14ac:dyDescent="0.25">
      <c r="A444" s="1">
        <v>40388</v>
      </c>
      <c r="B444" s="2" t="s">
        <v>53</v>
      </c>
      <c r="C444" t="s">
        <v>10</v>
      </c>
      <c r="D444" t="s">
        <v>209</v>
      </c>
      <c r="E444" s="2">
        <v>45790</v>
      </c>
      <c r="F444" s="2" t="e" cm="1">
        <f t="array" ref="F444">_xlfn.IFS(B444="Owner Surrender",E444,B444="Stray",E444+6,B444="Stray w/identification",E444+11,B444="Bite",E444+10,B444="Other",Blank)</f>
        <v>#N/A</v>
      </c>
      <c r="G444" s="2">
        <v>45797</v>
      </c>
      <c r="H444" s="6">
        <f t="shared" si="19"/>
        <v>7</v>
      </c>
      <c r="I444" s="6" t="e">
        <f t="shared" si="18"/>
        <v>#N/A</v>
      </c>
      <c r="J444" s="2" t="s">
        <v>18</v>
      </c>
    </row>
    <row r="445" spans="1:12" x14ac:dyDescent="0.25">
      <c r="A445" s="1">
        <v>40390</v>
      </c>
      <c r="B445" s="2" t="s">
        <v>53</v>
      </c>
      <c r="C445" t="s">
        <v>15</v>
      </c>
      <c r="D445" t="s">
        <v>208</v>
      </c>
      <c r="E445" s="2">
        <v>45790</v>
      </c>
      <c r="F445" s="2" t="e" cm="1">
        <f t="array" ref="F445">_xlfn.IFS(B445="Owner Surrender",E445,B445="Stray",E445+6,B445="Stray w/identification",E445+11,B445="Bite",E445+10,B445="Other",Blank)</f>
        <v>#N/A</v>
      </c>
      <c r="G445" s="2">
        <v>45797</v>
      </c>
      <c r="H445" s="6">
        <f t="shared" si="19"/>
        <v>7</v>
      </c>
      <c r="I445" s="6" t="e">
        <f t="shared" si="18"/>
        <v>#N/A</v>
      </c>
      <c r="J445" s="2" t="s">
        <v>18</v>
      </c>
    </row>
    <row r="446" spans="1:12" x14ac:dyDescent="0.25">
      <c r="A446" s="1">
        <v>40393</v>
      </c>
      <c r="B446" s="2" t="s">
        <v>38</v>
      </c>
      <c r="C446" t="s">
        <v>7</v>
      </c>
      <c r="D446" t="s">
        <v>208</v>
      </c>
      <c r="E446" s="2">
        <v>45791</v>
      </c>
      <c r="F446" s="2" cm="1">
        <f t="array" ref="F446">_xlfn.IFS(B446="Owner Surrender",E446,B446="Stray",E446+6,B446="Stray w/identification",E446+11,B446="Bite",E446+10,B446="Other",Blank)</f>
        <v>45797</v>
      </c>
      <c r="G446" s="2">
        <v>45797</v>
      </c>
      <c r="H446" s="6">
        <f t="shared" si="19"/>
        <v>6</v>
      </c>
      <c r="I446" s="6">
        <f t="shared" si="18"/>
        <v>0</v>
      </c>
      <c r="J446" s="2" t="s">
        <v>18</v>
      </c>
    </row>
    <row r="447" spans="1:12" x14ac:dyDescent="0.25">
      <c r="A447" s="1">
        <v>40395</v>
      </c>
      <c r="B447" s="2" t="s">
        <v>53</v>
      </c>
      <c r="C447" t="s">
        <v>10</v>
      </c>
      <c r="D447" t="s">
        <v>210</v>
      </c>
      <c r="E447" s="2">
        <v>45791</v>
      </c>
      <c r="F447" s="2" t="e" cm="1">
        <f t="array" ref="F447">_xlfn.IFS(B447="Owner Surrender",E447,B447="Stray",E447+6,B447="Stray w/identification",E447+11,B447="Bite",E447+10,B447="Other",Blank)</f>
        <v>#N/A</v>
      </c>
      <c r="G447" s="2">
        <v>45797</v>
      </c>
      <c r="H447" s="6">
        <f t="shared" si="19"/>
        <v>6</v>
      </c>
      <c r="I447" s="6" t="e">
        <f t="shared" si="18"/>
        <v>#N/A</v>
      </c>
      <c r="J447" s="2" t="s">
        <v>31</v>
      </c>
      <c r="L447" t="s">
        <v>385</v>
      </c>
    </row>
    <row r="448" spans="1:12" x14ac:dyDescent="0.25">
      <c r="A448" s="1">
        <v>40399</v>
      </c>
      <c r="B448" s="2" t="s">
        <v>38</v>
      </c>
      <c r="C448" t="s">
        <v>10</v>
      </c>
      <c r="D448" t="s">
        <v>209</v>
      </c>
      <c r="E448" s="2">
        <v>45791</v>
      </c>
      <c r="F448" s="2" cm="1">
        <f t="array" ref="F448">_xlfn.IFS(B448="Owner Surrender",E448,B448="Stray",E448+6,B448="Stray w/identification",E448+11,B448="Bite",E448+10,B448="Other",Blank)</f>
        <v>45797</v>
      </c>
      <c r="G448" s="2">
        <v>45791</v>
      </c>
      <c r="H448" s="6">
        <f t="shared" si="19"/>
        <v>0</v>
      </c>
      <c r="I448" s="6">
        <f t="shared" si="18"/>
        <v>-6</v>
      </c>
      <c r="J448" s="2" t="s">
        <v>31</v>
      </c>
      <c r="L448" t="s">
        <v>384</v>
      </c>
    </row>
    <row r="449" spans="1:12" x14ac:dyDescent="0.25">
      <c r="A449" s="1">
        <v>40400</v>
      </c>
      <c r="B449" s="2" t="s">
        <v>38</v>
      </c>
      <c r="C449" t="s">
        <v>10</v>
      </c>
      <c r="D449" t="s">
        <v>209</v>
      </c>
      <c r="E449" s="2">
        <v>45791</v>
      </c>
      <c r="F449" s="2" cm="1">
        <f t="array" ref="F449">_xlfn.IFS(B449="Owner Surrender",E449,B449="Stray",E449+6,B449="Stray w/identification",E449+11,B449="Bite",E449+10,B449="Other",Blank)</f>
        <v>45797</v>
      </c>
      <c r="G449" s="2">
        <v>45796</v>
      </c>
      <c r="H449" s="6">
        <f t="shared" si="19"/>
        <v>5</v>
      </c>
      <c r="I449" s="6">
        <f t="shared" si="18"/>
        <v>-1</v>
      </c>
      <c r="J449" s="2" t="s">
        <v>31</v>
      </c>
    </row>
    <row r="450" spans="1:12" x14ac:dyDescent="0.25">
      <c r="A450" s="1">
        <v>40401</v>
      </c>
      <c r="B450" s="2" t="s">
        <v>38</v>
      </c>
      <c r="C450" t="s">
        <v>10</v>
      </c>
      <c r="D450" t="s">
        <v>209</v>
      </c>
      <c r="E450" s="2">
        <v>45791</v>
      </c>
      <c r="F450" s="2" cm="1">
        <f t="array" ref="F450">_xlfn.IFS(B450="Owner Surrender",E450,B450="Stray",E450+6,B450="Stray w/identification",E450+11,B450="Bite",E450+10,B450="Other",Blank)</f>
        <v>45797</v>
      </c>
      <c r="G450" s="2">
        <v>45796</v>
      </c>
      <c r="H450" s="6">
        <f t="shared" si="19"/>
        <v>5</v>
      </c>
      <c r="I450" s="6">
        <f t="shared" si="18"/>
        <v>-1</v>
      </c>
      <c r="J450" s="2" t="s">
        <v>31</v>
      </c>
    </row>
    <row r="451" spans="1:12" x14ac:dyDescent="0.25">
      <c r="A451" s="1">
        <v>40402</v>
      </c>
      <c r="B451" s="2" t="s">
        <v>38</v>
      </c>
      <c r="C451" t="s">
        <v>10</v>
      </c>
      <c r="D451" t="s">
        <v>209</v>
      </c>
      <c r="E451" s="2">
        <v>45791</v>
      </c>
      <c r="F451" s="2" cm="1">
        <f t="array" ref="F451">_xlfn.IFS(B451="Owner Surrender",E451,B451="Stray",E451+6,B451="Stray w/identification",E451+11,B451="Bite",E451+10,B451="Other",Blank)</f>
        <v>45797</v>
      </c>
      <c r="G451" s="2">
        <v>45797</v>
      </c>
      <c r="H451" s="6">
        <f t="shared" si="19"/>
        <v>6</v>
      </c>
      <c r="I451" s="6">
        <f t="shared" si="18"/>
        <v>0</v>
      </c>
      <c r="J451" s="2" t="s">
        <v>18</v>
      </c>
    </row>
    <row r="452" spans="1:12" x14ac:dyDescent="0.25">
      <c r="A452" s="1">
        <v>40415</v>
      </c>
      <c r="B452" s="2" t="s">
        <v>38</v>
      </c>
      <c r="C452" t="s">
        <v>10</v>
      </c>
      <c r="D452" t="s">
        <v>208</v>
      </c>
      <c r="E452" s="2">
        <v>45792</v>
      </c>
      <c r="F452" s="2" cm="1">
        <f t="array" ref="F452">_xlfn.IFS(B452="Owner Surrender",E452,B452="Stray",E452+6,B452="Stray w/identification",E452+11,B452="Bite",E452+10,B452="Other",Blank)</f>
        <v>45798</v>
      </c>
      <c r="G452" s="2">
        <v>45792</v>
      </c>
      <c r="H452" s="6">
        <f t="shared" si="19"/>
        <v>0</v>
      </c>
      <c r="I452" s="6">
        <f t="shared" si="18"/>
        <v>-6</v>
      </c>
      <c r="J452" s="2" t="s">
        <v>31</v>
      </c>
      <c r="L452" t="s">
        <v>383</v>
      </c>
    </row>
    <row r="453" spans="1:12" x14ac:dyDescent="0.25">
      <c r="A453" s="1">
        <v>40416</v>
      </c>
      <c r="B453" s="2" t="s">
        <v>36</v>
      </c>
      <c r="C453" t="s">
        <v>7</v>
      </c>
      <c r="D453" t="s">
        <v>209</v>
      </c>
      <c r="E453" s="2">
        <v>45792</v>
      </c>
      <c r="F453" s="2" cm="1">
        <f t="array" ref="F453">_xlfn.IFS(B453="Owner Surrender",E453,B453="Stray",E453+6,B453="Stray w/identification",E453+11,B453="Bite",E453+10,B453="Other",Blank)</f>
        <v>45792</v>
      </c>
      <c r="G453" s="2">
        <v>45796</v>
      </c>
      <c r="H453" s="6">
        <f t="shared" si="19"/>
        <v>4</v>
      </c>
      <c r="I453" s="6">
        <f t="shared" si="18"/>
        <v>4</v>
      </c>
      <c r="J453" s="2" t="s">
        <v>31</v>
      </c>
    </row>
    <row r="454" spans="1:12" x14ac:dyDescent="0.25">
      <c r="A454" s="1">
        <v>40417</v>
      </c>
      <c r="B454" s="2" t="s">
        <v>36</v>
      </c>
      <c r="C454" t="s">
        <v>7</v>
      </c>
      <c r="D454" t="s">
        <v>209</v>
      </c>
      <c r="E454" s="2">
        <v>45792</v>
      </c>
      <c r="F454" s="2" cm="1">
        <f t="array" ref="F454">_xlfn.IFS(B454="Owner Surrender",E454,B454="Stray",E454+6,B454="Stray w/identification",E454+11,B454="Bite",E454+10,B454="Other",Blank)</f>
        <v>45792</v>
      </c>
      <c r="G454" s="2">
        <v>45796</v>
      </c>
      <c r="H454" s="6">
        <f t="shared" si="19"/>
        <v>4</v>
      </c>
      <c r="I454" s="6">
        <f t="shared" si="18"/>
        <v>4</v>
      </c>
      <c r="J454" s="2" t="s">
        <v>31</v>
      </c>
    </row>
    <row r="455" spans="1:12" x14ac:dyDescent="0.25">
      <c r="A455" s="1">
        <v>40418</v>
      </c>
      <c r="B455" s="2" t="s">
        <v>36</v>
      </c>
      <c r="C455" t="s">
        <v>7</v>
      </c>
      <c r="D455" t="s">
        <v>209</v>
      </c>
      <c r="E455" s="2">
        <v>45792</v>
      </c>
      <c r="F455" s="2" cm="1">
        <f t="array" ref="F455">_xlfn.IFS(B455="Owner Surrender",E455,B455="Stray",E455+6,B455="Stray w/identification",E455+11,B455="Bite",E455+10,B455="Other",Blank)</f>
        <v>45792</v>
      </c>
      <c r="G455" s="2">
        <v>45796</v>
      </c>
      <c r="H455" s="6">
        <f t="shared" si="19"/>
        <v>4</v>
      </c>
      <c r="I455" s="6">
        <f t="shared" si="18"/>
        <v>4</v>
      </c>
      <c r="J455" s="2" t="s">
        <v>31</v>
      </c>
    </row>
    <row r="456" spans="1:12" x14ac:dyDescent="0.25">
      <c r="A456" s="1">
        <v>40419</v>
      </c>
      <c r="B456" s="2" t="s">
        <v>36</v>
      </c>
      <c r="C456" t="s">
        <v>7</v>
      </c>
      <c r="D456" t="s">
        <v>209</v>
      </c>
      <c r="E456" s="2">
        <v>45792</v>
      </c>
      <c r="F456" s="2" cm="1">
        <f t="array" ref="F456">_xlfn.IFS(B456="Owner Surrender",E456,B456="Stray",E456+6,B456="Stray w/identification",E456+11,B456="Bite",E456+10,B456="Other",Blank)</f>
        <v>45792</v>
      </c>
      <c r="G456" s="2">
        <v>45796</v>
      </c>
      <c r="H456" s="6">
        <f t="shared" si="19"/>
        <v>4</v>
      </c>
      <c r="I456" s="6">
        <f t="shared" si="18"/>
        <v>4</v>
      </c>
      <c r="J456" s="2" t="s">
        <v>31</v>
      </c>
    </row>
    <row r="457" spans="1:12" x14ac:dyDescent="0.25">
      <c r="A457" s="1">
        <v>40420</v>
      </c>
      <c r="B457" s="2" t="s">
        <v>36</v>
      </c>
      <c r="C457" t="s">
        <v>7</v>
      </c>
      <c r="D457" t="s">
        <v>208</v>
      </c>
      <c r="E457" s="2">
        <v>45792</v>
      </c>
      <c r="F457" s="2" cm="1">
        <f t="array" ref="F457">_xlfn.IFS(B457="Owner Surrender",E457,B457="Stray",E457+6,B457="Stray w/identification",E457+11,B457="Bite",E457+10,B457="Other",Blank)</f>
        <v>45792</v>
      </c>
      <c r="G457" s="2">
        <v>45796</v>
      </c>
      <c r="H457" s="6">
        <f t="shared" si="19"/>
        <v>4</v>
      </c>
      <c r="I457" s="6">
        <f t="shared" si="18"/>
        <v>4</v>
      </c>
      <c r="J457" s="2" t="s">
        <v>31</v>
      </c>
    </row>
    <row r="458" spans="1:12" x14ac:dyDescent="0.25">
      <c r="A458" s="1">
        <v>40421</v>
      </c>
      <c r="B458" s="2" t="s">
        <v>36</v>
      </c>
      <c r="C458" t="s">
        <v>7</v>
      </c>
      <c r="D458" t="s">
        <v>209</v>
      </c>
      <c r="E458" s="2">
        <v>45792</v>
      </c>
      <c r="F458" s="2" cm="1">
        <f t="array" ref="F458">_xlfn.IFS(B458="Owner Surrender",E458,B458="Stray",E458+6,B458="Stray w/identification",E458+11,B458="Bite",E458+10,B458="Other",Blank)</f>
        <v>45792</v>
      </c>
      <c r="G458" s="2">
        <v>45797</v>
      </c>
      <c r="H458" s="6">
        <f t="shared" si="19"/>
        <v>5</v>
      </c>
      <c r="I458" s="6">
        <f t="shared" si="18"/>
        <v>5</v>
      </c>
      <c r="J458" s="2" t="s">
        <v>18</v>
      </c>
    </row>
    <row r="459" spans="1:12" x14ac:dyDescent="0.25">
      <c r="A459" s="1">
        <v>40422</v>
      </c>
      <c r="B459" s="2" t="s">
        <v>36</v>
      </c>
      <c r="C459" t="s">
        <v>7</v>
      </c>
      <c r="D459" t="s">
        <v>209</v>
      </c>
      <c r="E459" s="2">
        <v>45792</v>
      </c>
      <c r="F459" s="2" cm="1">
        <f t="array" ref="F459">_xlfn.IFS(B459="Owner Surrender",E459,B459="Stray",E459+6,B459="Stray w/identification",E459+11,B459="Bite",E459+10,B459="Other",Blank)</f>
        <v>45792</v>
      </c>
      <c r="G459" s="2">
        <v>45797</v>
      </c>
      <c r="H459" s="6">
        <f t="shared" si="19"/>
        <v>5</v>
      </c>
      <c r="I459" s="6">
        <f t="shared" si="18"/>
        <v>5</v>
      </c>
      <c r="J459" s="2" t="s">
        <v>18</v>
      </c>
    </row>
    <row r="460" spans="1:12" x14ac:dyDescent="0.25">
      <c r="A460" s="1">
        <v>40423</v>
      </c>
      <c r="B460" s="2" t="s">
        <v>36</v>
      </c>
      <c r="C460" t="s">
        <v>7</v>
      </c>
      <c r="D460" t="s">
        <v>209</v>
      </c>
      <c r="E460" s="2">
        <v>45792</v>
      </c>
      <c r="F460" s="2" cm="1">
        <f t="array" ref="F460">_xlfn.IFS(B460="Owner Surrender",E460,B460="Stray",E460+6,B460="Stray w/identification",E460+11,B460="Bite",E460+10,B460="Other",Blank)</f>
        <v>45792</v>
      </c>
      <c r="G460" s="2">
        <v>45797</v>
      </c>
      <c r="H460" s="6">
        <f t="shared" si="19"/>
        <v>5</v>
      </c>
      <c r="I460" s="6">
        <f t="shared" si="18"/>
        <v>5</v>
      </c>
      <c r="J460" s="2" t="s">
        <v>18</v>
      </c>
    </row>
    <row r="461" spans="1:12" x14ac:dyDescent="0.25">
      <c r="A461" s="1">
        <v>40424</v>
      </c>
      <c r="B461" s="2" t="s">
        <v>36</v>
      </c>
      <c r="C461" t="s">
        <v>7</v>
      </c>
      <c r="D461" t="s">
        <v>209</v>
      </c>
      <c r="E461" s="2">
        <v>45792</v>
      </c>
      <c r="F461" s="2" cm="1">
        <f t="array" ref="F461">_xlfn.IFS(B461="Owner Surrender",E461,B461="Stray",E461+6,B461="Stray w/identification",E461+11,B461="Bite",E461+10,B461="Other",Blank)</f>
        <v>45792</v>
      </c>
      <c r="G461" s="2">
        <v>45797</v>
      </c>
      <c r="H461" s="6">
        <f t="shared" si="19"/>
        <v>5</v>
      </c>
      <c r="I461" s="6">
        <f t="shared" si="18"/>
        <v>5</v>
      </c>
      <c r="J461" s="2" t="s">
        <v>18</v>
      </c>
    </row>
    <row r="462" spans="1:12" x14ac:dyDescent="0.25">
      <c r="A462" s="1">
        <v>40425</v>
      </c>
      <c r="B462" s="2" t="s">
        <v>36</v>
      </c>
      <c r="C462" t="s">
        <v>7</v>
      </c>
      <c r="D462" t="s">
        <v>209</v>
      </c>
      <c r="E462" s="2">
        <v>45792</v>
      </c>
      <c r="F462" s="2" cm="1">
        <f t="array" ref="F462">_xlfn.IFS(B462="Owner Surrender",E462,B462="Stray",E462+6,B462="Stray w/identification",E462+11,B462="Bite",E462+10,B462="Other",Blank)</f>
        <v>45792</v>
      </c>
      <c r="G462" s="2">
        <v>45797</v>
      </c>
      <c r="H462" s="6">
        <f t="shared" si="19"/>
        <v>5</v>
      </c>
      <c r="I462" s="6">
        <f t="shared" si="18"/>
        <v>5</v>
      </c>
      <c r="J462" s="2" t="s">
        <v>18</v>
      </c>
    </row>
    <row r="463" spans="1:12" x14ac:dyDescent="0.25">
      <c r="A463" s="1">
        <v>40426</v>
      </c>
      <c r="B463" s="2" t="s">
        <v>36</v>
      </c>
      <c r="C463" t="s">
        <v>7</v>
      </c>
      <c r="D463" t="s">
        <v>209</v>
      </c>
      <c r="E463" s="2">
        <v>45792</v>
      </c>
      <c r="F463" s="2" cm="1">
        <f t="array" ref="F463">_xlfn.IFS(B463="Owner Surrender",E463,B463="Stray",E463+6,B463="Stray w/identification",E463+11,B463="Bite",E463+10,B463="Other",Blank)</f>
        <v>45792</v>
      </c>
      <c r="G463" s="2">
        <v>45797</v>
      </c>
      <c r="H463" s="6">
        <f t="shared" si="19"/>
        <v>5</v>
      </c>
      <c r="I463" s="6">
        <f t="shared" si="18"/>
        <v>5</v>
      </c>
      <c r="J463" s="2" t="s">
        <v>18</v>
      </c>
    </row>
    <row r="464" spans="1:12" x14ac:dyDescent="0.25">
      <c r="A464" s="1">
        <v>40427</v>
      </c>
      <c r="B464" s="2" t="s">
        <v>36</v>
      </c>
      <c r="C464" t="s">
        <v>7</v>
      </c>
      <c r="D464" t="s">
        <v>209</v>
      </c>
      <c r="E464" s="2">
        <v>45792</v>
      </c>
      <c r="F464" s="2" cm="1">
        <f t="array" ref="F464">_xlfn.IFS(B464="Owner Surrender",E464,B464="Stray",E464+6,B464="Stray w/identification",E464+11,B464="Bite",E464+10,B464="Other",Blank)</f>
        <v>45792</v>
      </c>
      <c r="G464" s="2">
        <v>45797</v>
      </c>
      <c r="H464" s="6">
        <f t="shared" si="19"/>
        <v>5</v>
      </c>
      <c r="I464" s="6">
        <f t="shared" si="18"/>
        <v>5</v>
      </c>
      <c r="J464" s="2" t="s">
        <v>18</v>
      </c>
    </row>
    <row r="465" spans="1:12" x14ac:dyDescent="0.25">
      <c r="A465" s="1">
        <v>40428</v>
      </c>
      <c r="B465" s="2" t="s">
        <v>36</v>
      </c>
      <c r="C465" t="s">
        <v>7</v>
      </c>
      <c r="D465" t="s">
        <v>209</v>
      </c>
      <c r="E465" s="2">
        <v>45792</v>
      </c>
      <c r="F465" s="2" cm="1">
        <f t="array" ref="F465">_xlfn.IFS(B465="Owner Surrender",E465,B465="Stray",E465+6,B465="Stray w/identification",E465+11,B465="Bite",E465+10,B465="Other",Blank)</f>
        <v>45792</v>
      </c>
      <c r="G465" s="2">
        <v>45797</v>
      </c>
      <c r="H465" s="6">
        <f t="shared" si="19"/>
        <v>5</v>
      </c>
      <c r="I465" s="6">
        <f t="shared" si="18"/>
        <v>5</v>
      </c>
      <c r="J465" s="2" t="s">
        <v>18</v>
      </c>
    </row>
    <row r="466" spans="1:12" x14ac:dyDescent="0.25">
      <c r="A466" s="3">
        <v>40432</v>
      </c>
      <c r="B466" s="2" t="s">
        <v>38</v>
      </c>
      <c r="C466" t="s">
        <v>7</v>
      </c>
      <c r="D466" t="s">
        <v>208</v>
      </c>
      <c r="E466" s="2">
        <v>45793</v>
      </c>
      <c r="F466" s="2" cm="1">
        <f t="array" ref="F466">_xlfn.IFS(B466="Owner Surrender",E466,B466="Stray",E466+6,B466="Stray w/identification",E466+11,B466="Bite",E466+10,B466="Other",Blank)</f>
        <v>45799</v>
      </c>
      <c r="G466" s="2">
        <v>45856</v>
      </c>
      <c r="H466" s="6">
        <f t="shared" si="19"/>
        <v>63</v>
      </c>
      <c r="I466" s="6">
        <f t="shared" si="18"/>
        <v>57</v>
      </c>
      <c r="J466" s="2" t="s">
        <v>31</v>
      </c>
      <c r="K466" s="2" t="s">
        <v>113</v>
      </c>
    </row>
    <row r="467" spans="1:12" x14ac:dyDescent="0.25">
      <c r="A467" s="1">
        <v>40432</v>
      </c>
      <c r="B467" s="2" t="s">
        <v>38</v>
      </c>
      <c r="C467" t="s">
        <v>7</v>
      </c>
      <c r="D467" t="s">
        <v>208</v>
      </c>
      <c r="E467" s="2">
        <v>45793</v>
      </c>
      <c r="F467" s="2" cm="1">
        <f t="array" ref="F467">_xlfn.IFS(B467="Owner Surrender",E467,B467="Stray",E467+6,B467="Stray w/identification",E467+11,B467="Bite",E467+10,B467="Other",Blank)</f>
        <v>45799</v>
      </c>
      <c r="H467" s="6">
        <f t="shared" si="19"/>
        <v>-45793</v>
      </c>
      <c r="I467" s="6">
        <f t="shared" si="18"/>
        <v>-45799</v>
      </c>
      <c r="J467" s="2" t="s">
        <v>21</v>
      </c>
    </row>
    <row r="468" spans="1:12" x14ac:dyDescent="0.25">
      <c r="A468" s="1">
        <v>40435</v>
      </c>
      <c r="B468" s="2" t="s">
        <v>38</v>
      </c>
      <c r="C468" t="s">
        <v>7</v>
      </c>
      <c r="D468" t="s">
        <v>209</v>
      </c>
      <c r="E468" s="2">
        <v>45793</v>
      </c>
      <c r="F468" s="2" cm="1">
        <f t="array" ref="F468">_xlfn.IFS(B468="Owner Surrender",E468,B468="Stray",E468+6,B468="Stray w/identification",E468+11,B468="Bite",E468+10,B468="Other",Blank)</f>
        <v>45799</v>
      </c>
      <c r="G468" s="2">
        <v>45800</v>
      </c>
      <c r="H468" s="6">
        <f t="shared" si="19"/>
        <v>7</v>
      </c>
      <c r="I468" s="6">
        <f t="shared" si="18"/>
        <v>1</v>
      </c>
      <c r="J468" s="2" t="s">
        <v>31</v>
      </c>
    </row>
    <row r="469" spans="1:12" x14ac:dyDescent="0.25">
      <c r="A469" s="1">
        <v>40436</v>
      </c>
      <c r="B469" s="2" t="s">
        <v>38</v>
      </c>
      <c r="C469" t="s">
        <v>7</v>
      </c>
      <c r="D469" t="s">
        <v>208</v>
      </c>
      <c r="E469" s="2">
        <v>45793</v>
      </c>
      <c r="F469" s="2" cm="1">
        <f t="array" ref="F469">_xlfn.IFS(B469="Owner Surrender",E469,B469="Stray",E469+6,B469="Stray w/identification",E469+11,B469="Bite",E469+10,B469="Other",Blank)</f>
        <v>45799</v>
      </c>
      <c r="G469" s="2">
        <v>45800</v>
      </c>
      <c r="H469" s="6">
        <f t="shared" si="19"/>
        <v>7</v>
      </c>
      <c r="I469" s="6">
        <f t="shared" si="18"/>
        <v>1</v>
      </c>
      <c r="J469" s="2" t="s">
        <v>31</v>
      </c>
    </row>
    <row r="470" spans="1:12" x14ac:dyDescent="0.25">
      <c r="A470" s="1">
        <v>40437</v>
      </c>
      <c r="B470" s="2" t="s">
        <v>38</v>
      </c>
      <c r="C470" t="s">
        <v>7</v>
      </c>
      <c r="D470" t="s">
        <v>209</v>
      </c>
      <c r="E470" s="2">
        <v>45793</v>
      </c>
      <c r="F470" s="2" cm="1">
        <f t="array" ref="F470">_xlfn.IFS(B470="Owner Surrender",E470,B470="Stray",E470+6,B470="Stray w/identification",E470+11,B470="Bite",E470+10,B470="Other",Blank)</f>
        <v>45799</v>
      </c>
      <c r="G470" s="2">
        <v>45800</v>
      </c>
      <c r="H470" s="6">
        <f t="shared" si="19"/>
        <v>7</v>
      </c>
      <c r="I470" s="6">
        <f t="shared" si="18"/>
        <v>1</v>
      </c>
      <c r="J470" s="2" t="s">
        <v>31</v>
      </c>
    </row>
    <row r="471" spans="1:12" x14ac:dyDescent="0.25">
      <c r="A471" s="1">
        <v>40438</v>
      </c>
      <c r="B471" s="2" t="s">
        <v>38</v>
      </c>
      <c r="C471" t="s">
        <v>7</v>
      </c>
      <c r="D471" t="s">
        <v>209</v>
      </c>
      <c r="E471" s="2">
        <v>45793</v>
      </c>
      <c r="F471" s="2" cm="1">
        <f t="array" ref="F471">_xlfn.IFS(B471="Owner Surrender",E471,B471="Stray",E471+6,B471="Stray w/identification",E471+11,B471="Bite",E471+10,B471="Other",Blank)</f>
        <v>45799</v>
      </c>
      <c r="G471" s="2">
        <v>45800</v>
      </c>
      <c r="H471" s="6">
        <f t="shared" si="19"/>
        <v>7</v>
      </c>
      <c r="I471" s="6">
        <f t="shared" si="18"/>
        <v>1</v>
      </c>
      <c r="J471" s="2" t="s">
        <v>31</v>
      </c>
    </row>
    <row r="472" spans="1:12" x14ac:dyDescent="0.25">
      <c r="A472" s="1">
        <v>40439</v>
      </c>
      <c r="B472" s="2" t="s">
        <v>38</v>
      </c>
      <c r="C472" t="s">
        <v>7</v>
      </c>
      <c r="D472" t="s">
        <v>209</v>
      </c>
      <c r="E472" s="2">
        <v>45793</v>
      </c>
      <c r="F472" s="2" cm="1">
        <f t="array" ref="F472">_xlfn.IFS(B472="Owner Surrender",E472,B472="Stray",E472+6,B472="Stray w/identification",E472+11,B472="Bite",E472+10,B472="Other",Blank)</f>
        <v>45799</v>
      </c>
      <c r="G472" s="2">
        <v>45800</v>
      </c>
      <c r="H472" s="6">
        <f t="shared" si="19"/>
        <v>7</v>
      </c>
      <c r="I472" s="6">
        <f t="shared" si="18"/>
        <v>1</v>
      </c>
      <c r="J472" s="2" t="s">
        <v>31</v>
      </c>
    </row>
    <row r="473" spans="1:12" x14ac:dyDescent="0.25">
      <c r="A473" s="1">
        <v>40440</v>
      </c>
      <c r="B473" s="2" t="s">
        <v>36</v>
      </c>
      <c r="C473" t="s">
        <v>7</v>
      </c>
      <c r="D473" t="s">
        <v>211</v>
      </c>
      <c r="E473" s="2">
        <v>45793</v>
      </c>
      <c r="F473" s="2" cm="1">
        <f t="array" ref="F473">_xlfn.IFS(B473="Owner Surrender",E473,B473="Stray",E473+6,B473="Stray w/identification",E473+11,B473="Bite",E473+10,B473="Other",Blank)</f>
        <v>45793</v>
      </c>
      <c r="G473" s="2">
        <v>45793</v>
      </c>
      <c r="H473" s="6">
        <f t="shared" si="19"/>
        <v>0</v>
      </c>
      <c r="I473" s="6">
        <f t="shared" si="18"/>
        <v>0</v>
      </c>
      <c r="J473" s="2" t="s">
        <v>31</v>
      </c>
      <c r="L473" t="s">
        <v>397</v>
      </c>
    </row>
    <row r="474" spans="1:12" x14ac:dyDescent="0.25">
      <c r="A474" s="1">
        <v>40441</v>
      </c>
      <c r="B474" s="2" t="s">
        <v>36</v>
      </c>
      <c r="C474" t="s">
        <v>7</v>
      </c>
      <c r="D474" t="s">
        <v>211</v>
      </c>
      <c r="E474" s="2">
        <v>45793</v>
      </c>
      <c r="F474" s="2" cm="1">
        <f t="array" ref="F474">_xlfn.IFS(B474="Owner Surrender",E474,B474="Stray",E474+6,B474="Stray w/identification",E474+11,B474="Bite",E474+10,B474="Other",Blank)</f>
        <v>45793</v>
      </c>
      <c r="G474" s="2">
        <v>45793</v>
      </c>
      <c r="H474" s="6">
        <f t="shared" si="19"/>
        <v>0</v>
      </c>
      <c r="I474" s="6">
        <f t="shared" si="18"/>
        <v>0</v>
      </c>
      <c r="J474" s="2" t="s">
        <v>31</v>
      </c>
      <c r="L474" t="s">
        <v>397</v>
      </c>
    </row>
    <row r="475" spans="1:12" x14ac:dyDescent="0.25">
      <c r="A475" s="1">
        <v>40442</v>
      </c>
      <c r="B475" s="2" t="s">
        <v>38</v>
      </c>
      <c r="C475" t="s">
        <v>7</v>
      </c>
      <c r="D475" t="s">
        <v>208</v>
      </c>
      <c r="E475" s="2">
        <v>45793</v>
      </c>
      <c r="F475" s="2" cm="1">
        <f t="array" ref="F475">_xlfn.IFS(B475="Owner Surrender",E475,B475="Stray",E475+6,B475="Stray w/identification",E475+11,B475="Bite",E475+10,B475="Other",Blank)</f>
        <v>45799</v>
      </c>
      <c r="G475" s="2">
        <v>45800</v>
      </c>
      <c r="H475" s="6">
        <f t="shared" si="19"/>
        <v>7</v>
      </c>
      <c r="I475" s="6">
        <f t="shared" si="18"/>
        <v>1</v>
      </c>
      <c r="J475" s="2" t="s">
        <v>31</v>
      </c>
    </row>
    <row r="476" spans="1:12" x14ac:dyDescent="0.25">
      <c r="A476" s="1">
        <v>40444</v>
      </c>
      <c r="B476" s="2" t="s">
        <v>38</v>
      </c>
      <c r="C476" t="s">
        <v>7</v>
      </c>
      <c r="D476" t="s">
        <v>209</v>
      </c>
      <c r="E476" s="2">
        <v>45794</v>
      </c>
      <c r="F476" s="2" cm="1">
        <f t="array" ref="F476">_xlfn.IFS(B476="Owner Surrender",E476,B476="Stray",E476+6,B476="Stray w/identification",E476+11,B476="Bite",E476+10,B476="Other",Blank)</f>
        <v>45800</v>
      </c>
      <c r="G476" s="2">
        <v>45794</v>
      </c>
      <c r="H476" s="6">
        <f t="shared" si="19"/>
        <v>0</v>
      </c>
      <c r="I476" s="6">
        <f t="shared" si="18"/>
        <v>-6</v>
      </c>
      <c r="J476" s="2" t="s">
        <v>31</v>
      </c>
      <c r="L476" t="s">
        <v>396</v>
      </c>
    </row>
    <row r="477" spans="1:12" x14ac:dyDescent="0.25">
      <c r="A477" s="1">
        <v>40446</v>
      </c>
      <c r="B477" s="2" t="s">
        <v>38</v>
      </c>
      <c r="C477" t="s">
        <v>7</v>
      </c>
      <c r="D477" t="s">
        <v>208</v>
      </c>
      <c r="E477" s="2">
        <v>45794</v>
      </c>
      <c r="F477" s="2" cm="1">
        <f t="array" ref="F477">_xlfn.IFS(B477="Owner Surrender",E477,B477="Stray",E477+6,B477="Stray w/identification",E477+11,B477="Bite",E477+10,B477="Other",Blank)</f>
        <v>45800</v>
      </c>
      <c r="G477" s="2">
        <v>45794</v>
      </c>
      <c r="H477" s="6">
        <f t="shared" si="19"/>
        <v>0</v>
      </c>
      <c r="I477" s="6">
        <f t="shared" si="18"/>
        <v>-6</v>
      </c>
      <c r="J477" s="2" t="s">
        <v>31</v>
      </c>
      <c r="L477" t="s">
        <v>395</v>
      </c>
    </row>
    <row r="478" spans="1:12" x14ac:dyDescent="0.25">
      <c r="A478" s="1">
        <v>40447</v>
      </c>
      <c r="B478" s="2" t="s">
        <v>38</v>
      </c>
      <c r="C478" t="s">
        <v>7</v>
      </c>
      <c r="D478" t="s">
        <v>208</v>
      </c>
      <c r="E478" s="2">
        <v>45795</v>
      </c>
      <c r="F478" s="2" cm="1">
        <f t="array" ref="F478">_xlfn.IFS(B478="Owner Surrender",E478,B478="Stray",E478+6,B478="Stray w/identification",E478+11,B478="Bite",E478+10,B478="Other",Blank)</f>
        <v>45801</v>
      </c>
      <c r="G478" s="2">
        <v>45796</v>
      </c>
      <c r="H478" s="6">
        <f t="shared" si="19"/>
        <v>1</v>
      </c>
      <c r="I478" s="6">
        <f t="shared" si="18"/>
        <v>-5</v>
      </c>
      <c r="J478" s="2" t="s">
        <v>31</v>
      </c>
      <c r="L478" t="s">
        <v>167</v>
      </c>
    </row>
    <row r="479" spans="1:12" x14ac:dyDescent="0.25">
      <c r="A479" s="1">
        <v>40451</v>
      </c>
      <c r="B479" s="2" t="s">
        <v>38</v>
      </c>
      <c r="C479" t="s">
        <v>7</v>
      </c>
      <c r="D479" t="s">
        <v>209</v>
      </c>
      <c r="E479" s="2">
        <v>45795</v>
      </c>
      <c r="F479" s="2" cm="1">
        <f t="array" ref="F479">_xlfn.IFS(B479="Owner Surrender",E479,B479="Stray",E479+6,B479="Stray w/identification",E479+11,B479="Bite",E479+10,B479="Other",Blank)</f>
        <v>45801</v>
      </c>
      <c r="G479" s="2">
        <v>45804</v>
      </c>
      <c r="H479" s="6">
        <f t="shared" si="19"/>
        <v>9</v>
      </c>
      <c r="I479" s="6">
        <f t="shared" si="18"/>
        <v>3</v>
      </c>
      <c r="J479" s="2" t="s">
        <v>31</v>
      </c>
      <c r="L479" t="s">
        <v>394</v>
      </c>
    </row>
    <row r="480" spans="1:12" x14ac:dyDescent="0.25">
      <c r="A480" s="1">
        <v>40452</v>
      </c>
      <c r="B480" s="2" t="s">
        <v>38</v>
      </c>
      <c r="C480" t="s">
        <v>7</v>
      </c>
      <c r="D480" t="s">
        <v>209</v>
      </c>
      <c r="E480" s="2">
        <v>45795</v>
      </c>
      <c r="F480" s="2" cm="1">
        <f t="array" ref="F480">_xlfn.IFS(B480="Owner Surrender",E480,B480="Stray",E480+6,B480="Stray w/identification",E480+11,B480="Bite",E480+10,B480="Other",Blank)</f>
        <v>45801</v>
      </c>
      <c r="G480" s="2">
        <v>45804</v>
      </c>
      <c r="H480" s="6">
        <f t="shared" si="19"/>
        <v>9</v>
      </c>
      <c r="I480" s="6">
        <f t="shared" si="18"/>
        <v>3</v>
      </c>
      <c r="J480" s="2" t="s">
        <v>31</v>
      </c>
      <c r="L480" t="s">
        <v>394</v>
      </c>
    </row>
    <row r="481" spans="1:12" x14ac:dyDescent="0.25">
      <c r="A481" s="1">
        <v>40454</v>
      </c>
      <c r="B481" s="2" t="s">
        <v>36</v>
      </c>
      <c r="C481" t="s">
        <v>7</v>
      </c>
      <c r="D481" t="s">
        <v>208</v>
      </c>
      <c r="E481" s="2">
        <v>45796</v>
      </c>
      <c r="F481" s="2" cm="1">
        <f t="array" ref="F481">_xlfn.IFS(B481="Owner Surrender",E481,B481="Stray",E481+6,B481="Stray w/identification",E481+11,B481="Bite",E481+10,B481="Other",Blank)</f>
        <v>45796</v>
      </c>
      <c r="G481" s="2">
        <v>45797</v>
      </c>
      <c r="H481" s="6">
        <f t="shared" si="19"/>
        <v>1</v>
      </c>
      <c r="I481" s="6">
        <f t="shared" si="18"/>
        <v>1</v>
      </c>
      <c r="J481" s="2" t="s">
        <v>31</v>
      </c>
      <c r="K481" t="s">
        <v>306</v>
      </c>
    </row>
    <row r="482" spans="1:12" x14ac:dyDescent="0.25">
      <c r="A482" s="1">
        <v>40455</v>
      </c>
      <c r="B482" s="2" t="s">
        <v>36</v>
      </c>
      <c r="C482" t="s">
        <v>7</v>
      </c>
      <c r="D482" t="s">
        <v>211</v>
      </c>
      <c r="E482" s="2">
        <v>45796</v>
      </c>
      <c r="F482" s="2" cm="1">
        <f t="array" ref="F482">_xlfn.IFS(B482="Owner Surrender",E482,B482="Stray",E482+6,B482="Stray w/identification",E482+11,B482="Bite",E482+10,B482="Other",Blank)</f>
        <v>45796</v>
      </c>
      <c r="G482" s="2">
        <v>45797</v>
      </c>
      <c r="H482" s="6">
        <f t="shared" si="19"/>
        <v>1</v>
      </c>
      <c r="I482" s="6">
        <f t="shared" si="18"/>
        <v>1</v>
      </c>
      <c r="J482" s="2" t="s">
        <v>31</v>
      </c>
      <c r="K482" t="s">
        <v>393</v>
      </c>
    </row>
    <row r="483" spans="1:12" x14ac:dyDescent="0.25">
      <c r="A483" s="1">
        <v>40456</v>
      </c>
      <c r="B483" s="2" t="s">
        <v>36</v>
      </c>
      <c r="C483" t="s">
        <v>7</v>
      </c>
      <c r="D483" t="s">
        <v>208</v>
      </c>
      <c r="E483" s="2">
        <v>45796</v>
      </c>
      <c r="F483" s="2" cm="1">
        <f t="array" ref="F483">_xlfn.IFS(B483="Owner Surrender",E483,B483="Stray",E483+6,B483="Stray w/identification",E483+11,B483="Bite",E483+10,B483="Other",Blank)</f>
        <v>45796</v>
      </c>
      <c r="G483" s="2">
        <v>45797</v>
      </c>
      <c r="H483" s="6">
        <f t="shared" si="19"/>
        <v>1</v>
      </c>
      <c r="I483" s="6">
        <f t="shared" si="18"/>
        <v>1</v>
      </c>
      <c r="J483" s="2" t="s">
        <v>18</v>
      </c>
      <c r="K483" t="s">
        <v>392</v>
      </c>
    </row>
    <row r="484" spans="1:12" x14ac:dyDescent="0.25">
      <c r="A484" s="1">
        <v>40457</v>
      </c>
      <c r="B484" s="2" t="s">
        <v>36</v>
      </c>
      <c r="C484" t="s">
        <v>7</v>
      </c>
      <c r="D484" t="s">
        <v>209</v>
      </c>
      <c r="E484" s="2">
        <v>45796</v>
      </c>
      <c r="F484" s="2" cm="1">
        <f t="array" ref="F484">_xlfn.IFS(B484="Owner Surrender",E484,B484="Stray",E484+6,B484="Stray w/identification",E484+11,B484="Bite",E484+10,B484="Other",Blank)</f>
        <v>45796</v>
      </c>
      <c r="G484" s="2">
        <v>45797</v>
      </c>
      <c r="H484" s="6">
        <f t="shared" si="19"/>
        <v>1</v>
      </c>
      <c r="I484" s="6">
        <f t="shared" si="18"/>
        <v>1</v>
      </c>
      <c r="J484" s="2" t="s">
        <v>18</v>
      </c>
    </row>
    <row r="485" spans="1:12" x14ac:dyDescent="0.25">
      <c r="A485" s="1">
        <v>40458</v>
      </c>
      <c r="B485" s="2" t="s">
        <v>36</v>
      </c>
      <c r="C485" t="s">
        <v>7</v>
      </c>
      <c r="D485" t="s">
        <v>209</v>
      </c>
      <c r="E485" s="2">
        <v>45796</v>
      </c>
      <c r="F485" s="2" cm="1">
        <f t="array" ref="F485">_xlfn.IFS(B485="Owner Surrender",E485,B485="Stray",E485+6,B485="Stray w/identification",E485+11,B485="Bite",E485+10,B485="Other",Blank)</f>
        <v>45796</v>
      </c>
      <c r="G485" s="2">
        <v>45797</v>
      </c>
      <c r="H485" s="6">
        <f t="shared" si="19"/>
        <v>1</v>
      </c>
      <c r="I485" s="6">
        <f t="shared" si="18"/>
        <v>1</v>
      </c>
      <c r="J485" s="2" t="s">
        <v>18</v>
      </c>
      <c r="K485" t="s">
        <v>391</v>
      </c>
    </row>
    <row r="486" spans="1:12" x14ac:dyDescent="0.25">
      <c r="A486" s="1">
        <v>40459</v>
      </c>
      <c r="B486" s="2" t="s">
        <v>36</v>
      </c>
      <c r="C486" t="s">
        <v>7</v>
      </c>
      <c r="D486" t="s">
        <v>209</v>
      </c>
      <c r="E486" s="2">
        <v>45796</v>
      </c>
      <c r="F486" s="2" cm="1">
        <f t="array" ref="F486">_xlfn.IFS(B486="Owner Surrender",E486,B486="Stray",E486+6,B486="Stray w/identification",E486+11,B486="Bite",E486+10,B486="Other",Blank)</f>
        <v>45796</v>
      </c>
      <c r="G486" s="2">
        <v>45797</v>
      </c>
      <c r="H486" s="6">
        <f t="shared" si="19"/>
        <v>1</v>
      </c>
      <c r="I486" s="6">
        <f t="shared" ref="I486:I549" si="20">G486-F486</f>
        <v>1</v>
      </c>
      <c r="J486" s="2" t="s">
        <v>18</v>
      </c>
    </row>
    <row r="487" spans="1:12" x14ac:dyDescent="0.25">
      <c r="A487" s="1">
        <v>40464</v>
      </c>
      <c r="B487" s="2" t="s">
        <v>36</v>
      </c>
      <c r="C487" t="s">
        <v>7</v>
      </c>
      <c r="D487" t="s">
        <v>208</v>
      </c>
      <c r="E487" s="2">
        <v>45797</v>
      </c>
      <c r="F487" s="2" cm="1">
        <f t="array" ref="F487">_xlfn.IFS(B487="Owner Surrender",E487,B487="Stray",E487+6,B487="Stray w/identification",E487+11,B487="Bite",E487+10,B487="Other",Blank)</f>
        <v>45797</v>
      </c>
      <c r="G487" s="2">
        <v>45799</v>
      </c>
      <c r="H487" s="6">
        <f t="shared" si="19"/>
        <v>2</v>
      </c>
      <c r="I487" s="6">
        <f t="shared" si="20"/>
        <v>2</v>
      </c>
      <c r="J487" s="2" t="s">
        <v>31</v>
      </c>
      <c r="K487" t="s">
        <v>390</v>
      </c>
      <c r="L487" t="s">
        <v>389</v>
      </c>
    </row>
    <row r="488" spans="1:12" x14ac:dyDescent="0.25">
      <c r="A488" s="1">
        <v>40465</v>
      </c>
      <c r="B488" s="2" t="s">
        <v>36</v>
      </c>
      <c r="C488" t="s">
        <v>7</v>
      </c>
      <c r="D488" t="s">
        <v>209</v>
      </c>
      <c r="E488" s="2">
        <v>45797</v>
      </c>
      <c r="F488" s="2" cm="1">
        <f t="array" ref="F488">_xlfn.IFS(B488="Owner Surrender",E488,B488="Stray",E488+6,B488="Stray w/identification",E488+11,B488="Bite",E488+10,B488="Other",Blank)</f>
        <v>45797</v>
      </c>
      <c r="G488" s="2">
        <v>45834</v>
      </c>
      <c r="H488" s="6">
        <f t="shared" ref="H488:H551" si="21">+G488-E488</f>
        <v>37</v>
      </c>
      <c r="I488" s="6">
        <f t="shared" si="20"/>
        <v>37</v>
      </c>
      <c r="J488" s="2" t="s">
        <v>31</v>
      </c>
    </row>
    <row r="489" spans="1:12" x14ac:dyDescent="0.25">
      <c r="A489" s="1">
        <v>40466</v>
      </c>
      <c r="B489" s="2" t="s">
        <v>36</v>
      </c>
      <c r="C489" t="s">
        <v>7</v>
      </c>
      <c r="D489" t="s">
        <v>209</v>
      </c>
      <c r="E489" s="2">
        <v>45797</v>
      </c>
      <c r="F489" s="2" cm="1">
        <f t="array" ref="F489">_xlfn.IFS(B489="Owner Surrender",E489,B489="Stray",E489+6,B489="Stray w/identification",E489+11,B489="Bite",E489+10,B489="Other",Blank)</f>
        <v>45797</v>
      </c>
      <c r="G489" s="2">
        <v>45834</v>
      </c>
      <c r="H489" s="6">
        <f t="shared" si="21"/>
        <v>37</v>
      </c>
      <c r="I489" s="6">
        <f t="shared" si="20"/>
        <v>37</v>
      </c>
      <c r="J489" s="2" t="s">
        <v>31</v>
      </c>
    </row>
    <row r="490" spans="1:12" x14ac:dyDescent="0.25">
      <c r="A490" s="1">
        <v>40467</v>
      </c>
      <c r="B490" s="2" t="s">
        <v>36</v>
      </c>
      <c r="C490" t="s">
        <v>7</v>
      </c>
      <c r="D490" t="s">
        <v>209</v>
      </c>
      <c r="E490" s="2">
        <v>45797</v>
      </c>
      <c r="F490" s="2" cm="1">
        <f t="array" ref="F490">_xlfn.IFS(B490="Owner Surrender",E490,B490="Stray",E490+6,B490="Stray w/identification",E490+11,B490="Bite",E490+10,B490="Other",Blank)</f>
        <v>45797</v>
      </c>
      <c r="G490" s="2">
        <v>45834</v>
      </c>
      <c r="H490" s="6">
        <f t="shared" si="21"/>
        <v>37</v>
      </c>
      <c r="I490" s="6">
        <f t="shared" si="20"/>
        <v>37</v>
      </c>
      <c r="J490" s="2" t="s">
        <v>31</v>
      </c>
    </row>
    <row r="491" spans="1:12" x14ac:dyDescent="0.25">
      <c r="A491" s="1">
        <v>40470</v>
      </c>
      <c r="B491" s="2" t="s">
        <v>36</v>
      </c>
      <c r="C491" t="s">
        <v>7</v>
      </c>
      <c r="D491" t="s">
        <v>209</v>
      </c>
      <c r="E491" s="2">
        <v>45797</v>
      </c>
      <c r="F491" s="2" cm="1">
        <f t="array" ref="F491">_xlfn.IFS(B491="Owner Surrender",E491,B491="Stray",E491+6,B491="Stray w/identification",E491+11,B491="Bite",E491+10,B491="Other",Blank)</f>
        <v>45797</v>
      </c>
      <c r="G491" s="2">
        <v>45804</v>
      </c>
      <c r="H491" s="6">
        <f t="shared" si="21"/>
        <v>7</v>
      </c>
      <c r="I491" s="6">
        <f t="shared" si="20"/>
        <v>7</v>
      </c>
      <c r="J491" s="2" t="s">
        <v>31</v>
      </c>
      <c r="L491" t="s">
        <v>389</v>
      </c>
    </row>
    <row r="492" spans="1:12" x14ac:dyDescent="0.25">
      <c r="A492" s="1">
        <v>40471</v>
      </c>
      <c r="B492" s="2" t="s">
        <v>36</v>
      </c>
      <c r="C492" t="s">
        <v>7</v>
      </c>
      <c r="D492" t="s">
        <v>209</v>
      </c>
      <c r="E492" s="2">
        <v>45797</v>
      </c>
      <c r="F492" s="2" cm="1">
        <f t="array" ref="F492">_xlfn.IFS(B492="Owner Surrender",E492,B492="Stray",E492+6,B492="Stray w/identification",E492+11,B492="Bite",E492+10,B492="Other",Blank)</f>
        <v>45797</v>
      </c>
      <c r="G492" s="2">
        <v>45804</v>
      </c>
      <c r="H492" s="6">
        <f t="shared" si="21"/>
        <v>7</v>
      </c>
      <c r="I492" s="6">
        <f t="shared" si="20"/>
        <v>7</v>
      </c>
      <c r="J492" s="2" t="s">
        <v>31</v>
      </c>
      <c r="L492" t="s">
        <v>389</v>
      </c>
    </row>
    <row r="493" spans="1:12" x14ac:dyDescent="0.25">
      <c r="A493" s="1">
        <v>40472</v>
      </c>
      <c r="B493" s="2" t="s">
        <v>36</v>
      </c>
      <c r="C493" t="s">
        <v>7</v>
      </c>
      <c r="D493" t="s">
        <v>209</v>
      </c>
      <c r="E493" s="2">
        <v>45797</v>
      </c>
      <c r="F493" s="2" cm="1">
        <f t="array" ref="F493">_xlfn.IFS(B493="Owner Surrender",E493,B493="Stray",E493+6,B493="Stray w/identification",E493+11,B493="Bite",E493+10,B493="Other",Blank)</f>
        <v>45797</v>
      </c>
      <c r="G493" s="2">
        <v>45804</v>
      </c>
      <c r="H493" s="6">
        <f t="shared" si="21"/>
        <v>7</v>
      </c>
      <c r="I493" s="6">
        <f t="shared" si="20"/>
        <v>7</v>
      </c>
      <c r="J493" s="2" t="s">
        <v>31</v>
      </c>
      <c r="L493" t="s">
        <v>389</v>
      </c>
    </row>
    <row r="494" spans="1:12" x14ac:dyDescent="0.25">
      <c r="A494" s="1">
        <v>40473</v>
      </c>
      <c r="B494" s="2" t="s">
        <v>36</v>
      </c>
      <c r="C494" t="s">
        <v>7</v>
      </c>
      <c r="D494" t="s">
        <v>208</v>
      </c>
      <c r="E494" s="2">
        <v>45797</v>
      </c>
      <c r="F494" s="2" cm="1">
        <f t="array" ref="F494">_xlfn.IFS(B494="Owner Surrender",E494,B494="Stray",E494+6,B494="Stray w/identification",E494+11,B494="Bite",E494+10,B494="Other",Blank)</f>
        <v>45797</v>
      </c>
      <c r="G494" s="2">
        <v>45804</v>
      </c>
      <c r="H494" s="6">
        <f t="shared" si="21"/>
        <v>7</v>
      </c>
      <c r="I494" s="6">
        <f t="shared" si="20"/>
        <v>7</v>
      </c>
      <c r="J494" s="2" t="s">
        <v>31</v>
      </c>
    </row>
    <row r="495" spans="1:12" x14ac:dyDescent="0.25">
      <c r="A495" s="1">
        <v>40476</v>
      </c>
      <c r="B495" s="2" t="s">
        <v>38</v>
      </c>
      <c r="C495" t="s">
        <v>10</v>
      </c>
      <c r="D495" t="s">
        <v>209</v>
      </c>
      <c r="E495" s="2">
        <v>45798</v>
      </c>
      <c r="F495" s="2" cm="1">
        <f t="array" ref="F495">_xlfn.IFS(B495="Owner Surrender",E495,B495="Stray",E495+6,B495="Stray w/identification",E495+11,B495="Bite",E495+10,B495="Other",Blank)</f>
        <v>45804</v>
      </c>
      <c r="G495" s="2">
        <v>45798</v>
      </c>
      <c r="H495" s="6">
        <f t="shared" si="21"/>
        <v>0</v>
      </c>
      <c r="I495" s="6">
        <f t="shared" si="20"/>
        <v>-6</v>
      </c>
      <c r="J495" s="2" t="s">
        <v>31</v>
      </c>
      <c r="L495" t="s">
        <v>47</v>
      </c>
    </row>
    <row r="496" spans="1:12" x14ac:dyDescent="0.25">
      <c r="A496" s="1">
        <v>40477</v>
      </c>
      <c r="B496" s="2" t="s">
        <v>38</v>
      </c>
      <c r="C496" t="s">
        <v>10</v>
      </c>
      <c r="D496" t="s">
        <v>209</v>
      </c>
      <c r="E496" s="2">
        <v>45798</v>
      </c>
      <c r="F496" s="2" cm="1">
        <f t="array" ref="F496">_xlfn.IFS(B496="Owner Surrender",E496,B496="Stray",E496+6,B496="Stray w/identification",E496+11,B496="Bite",E496+10,B496="Other",Blank)</f>
        <v>45804</v>
      </c>
      <c r="G496" s="2">
        <v>45798</v>
      </c>
      <c r="H496" s="6">
        <f t="shared" si="21"/>
        <v>0</v>
      </c>
      <c r="I496" s="6">
        <f t="shared" si="20"/>
        <v>-6</v>
      </c>
      <c r="J496" s="2" t="s">
        <v>31</v>
      </c>
      <c r="L496" t="s">
        <v>47</v>
      </c>
    </row>
    <row r="497" spans="1:12" x14ac:dyDescent="0.25">
      <c r="A497" s="1">
        <v>40478</v>
      </c>
      <c r="B497" s="2" t="s">
        <v>38</v>
      </c>
      <c r="C497" t="s">
        <v>7</v>
      </c>
      <c r="D497" t="s">
        <v>208</v>
      </c>
      <c r="E497" s="2">
        <v>45797</v>
      </c>
      <c r="F497" s="2" cm="1">
        <f t="array" ref="F497">_xlfn.IFS(B497="Owner Surrender",E497,B497="Stray",E497+6,B497="Stray w/identification",E497+11,B497="Bite",E497+10,B497="Other",Blank)</f>
        <v>45803</v>
      </c>
      <c r="G497" s="2">
        <v>45804</v>
      </c>
      <c r="H497" s="6">
        <f t="shared" si="21"/>
        <v>7</v>
      </c>
      <c r="I497" s="6">
        <f t="shared" si="20"/>
        <v>1</v>
      </c>
      <c r="J497" s="2" t="s">
        <v>31</v>
      </c>
      <c r="L497" t="s">
        <v>34</v>
      </c>
    </row>
    <row r="498" spans="1:12" x14ac:dyDescent="0.25">
      <c r="A498" s="3">
        <v>40479</v>
      </c>
      <c r="B498" s="2" t="s">
        <v>38</v>
      </c>
      <c r="C498" t="s">
        <v>7</v>
      </c>
      <c r="D498" t="s">
        <v>209</v>
      </c>
      <c r="E498" s="2">
        <v>45797</v>
      </c>
      <c r="F498" s="2" cm="1">
        <f t="array" ref="F498">_xlfn.IFS(B498="Owner Surrender",E498,B498="Stray",E498+6,B498="Stray w/identification",E498+11,B498="Bite",E498+10,B498="Other",Blank)</f>
        <v>45803</v>
      </c>
      <c r="G498" s="2">
        <v>45841</v>
      </c>
      <c r="H498" s="6">
        <f t="shared" si="21"/>
        <v>44</v>
      </c>
      <c r="I498" s="6">
        <f t="shared" si="20"/>
        <v>38</v>
      </c>
      <c r="J498" s="2" t="s">
        <v>31</v>
      </c>
      <c r="L498" t="s">
        <v>34</v>
      </c>
    </row>
    <row r="499" spans="1:12" x14ac:dyDescent="0.25">
      <c r="A499" s="1">
        <v>40481</v>
      </c>
      <c r="B499" s="2" t="s">
        <v>36</v>
      </c>
      <c r="C499" t="s">
        <v>7</v>
      </c>
      <c r="D499" t="s">
        <v>209</v>
      </c>
      <c r="E499" s="2">
        <v>45798</v>
      </c>
      <c r="F499" s="2" cm="1">
        <f t="array" ref="F499">_xlfn.IFS(B499="Owner Surrender",E499,B499="Stray",E499+6,B499="Stray w/identification",E499+11,B499="Bite",E499+10,B499="Other",Blank)</f>
        <v>45798</v>
      </c>
      <c r="G499" s="2">
        <v>45812</v>
      </c>
      <c r="H499" s="6">
        <f t="shared" si="21"/>
        <v>14</v>
      </c>
      <c r="I499" s="6">
        <f t="shared" si="20"/>
        <v>14</v>
      </c>
      <c r="J499" s="2" t="s">
        <v>31</v>
      </c>
    </row>
    <row r="500" spans="1:12" x14ac:dyDescent="0.25">
      <c r="A500" s="1">
        <v>40482</v>
      </c>
      <c r="B500" s="2" t="s">
        <v>36</v>
      </c>
      <c r="C500" t="s">
        <v>7</v>
      </c>
      <c r="D500" t="s">
        <v>209</v>
      </c>
      <c r="E500" s="2">
        <v>45798</v>
      </c>
      <c r="F500" s="2" cm="1">
        <f t="array" ref="F500">_xlfn.IFS(B500="Owner Surrender",E500,B500="Stray",E500+6,B500="Stray w/identification",E500+11,B500="Bite",E500+10,B500="Other",Blank)</f>
        <v>45798</v>
      </c>
      <c r="G500" s="2">
        <v>45812</v>
      </c>
      <c r="H500" s="6">
        <f t="shared" si="21"/>
        <v>14</v>
      </c>
      <c r="I500" s="6">
        <f t="shared" si="20"/>
        <v>14</v>
      </c>
      <c r="J500" s="2" t="s">
        <v>31</v>
      </c>
    </row>
    <row r="501" spans="1:12" x14ac:dyDescent="0.25">
      <c r="A501" s="1">
        <v>40483</v>
      </c>
      <c r="B501" s="2" t="s">
        <v>36</v>
      </c>
      <c r="C501" t="s">
        <v>7</v>
      </c>
      <c r="D501" t="s">
        <v>209</v>
      </c>
      <c r="E501" s="2">
        <v>45798</v>
      </c>
      <c r="F501" s="2" cm="1">
        <f t="array" ref="F501">_xlfn.IFS(B501="Owner Surrender",E501,B501="Stray",E501+6,B501="Stray w/identification",E501+11,B501="Bite",E501+10,B501="Other",Blank)</f>
        <v>45798</v>
      </c>
      <c r="G501" s="2">
        <v>45812</v>
      </c>
      <c r="H501" s="6">
        <f t="shared" si="21"/>
        <v>14</v>
      </c>
      <c r="I501" s="6">
        <f t="shared" si="20"/>
        <v>14</v>
      </c>
      <c r="J501" s="2" t="s">
        <v>31</v>
      </c>
    </row>
    <row r="502" spans="1:12" x14ac:dyDescent="0.25">
      <c r="A502" s="1">
        <v>40484</v>
      </c>
      <c r="B502" s="2" t="s">
        <v>36</v>
      </c>
      <c r="C502" t="s">
        <v>7</v>
      </c>
      <c r="D502" t="s">
        <v>209</v>
      </c>
      <c r="E502" s="2">
        <v>45798</v>
      </c>
      <c r="F502" s="2" cm="1">
        <f t="array" ref="F502">_xlfn.IFS(B502="Owner Surrender",E502,B502="Stray",E502+6,B502="Stray w/identification",E502+11,B502="Bite",E502+10,B502="Other",Blank)</f>
        <v>45798</v>
      </c>
      <c r="G502" s="2">
        <v>45812</v>
      </c>
      <c r="H502" s="6">
        <f t="shared" si="21"/>
        <v>14</v>
      </c>
      <c r="I502" s="6">
        <f t="shared" si="20"/>
        <v>14</v>
      </c>
      <c r="J502" s="2" t="s">
        <v>31</v>
      </c>
    </row>
    <row r="503" spans="1:12" x14ac:dyDescent="0.25">
      <c r="A503" s="1">
        <v>40485</v>
      </c>
      <c r="B503" s="2" t="s">
        <v>36</v>
      </c>
      <c r="C503" t="s">
        <v>7</v>
      </c>
      <c r="D503" t="s">
        <v>208</v>
      </c>
      <c r="E503" s="2">
        <v>45798</v>
      </c>
      <c r="F503" s="2" cm="1">
        <f t="array" ref="F503">_xlfn.IFS(B503="Owner Surrender",E503,B503="Stray",E503+6,B503="Stray w/identification",E503+11,B503="Bite",E503+10,B503="Other",Blank)</f>
        <v>45798</v>
      </c>
      <c r="G503" s="2">
        <v>45812</v>
      </c>
      <c r="H503" s="6">
        <f t="shared" si="21"/>
        <v>14</v>
      </c>
      <c r="I503" s="6">
        <f t="shared" si="20"/>
        <v>14</v>
      </c>
      <c r="J503" s="2" t="s">
        <v>31</v>
      </c>
      <c r="K503" t="s">
        <v>404</v>
      </c>
    </row>
    <row r="504" spans="1:12" x14ac:dyDescent="0.25">
      <c r="A504" s="1">
        <v>40489</v>
      </c>
      <c r="B504" s="2" t="s">
        <v>38</v>
      </c>
      <c r="C504" t="s">
        <v>10</v>
      </c>
      <c r="D504" t="s">
        <v>209</v>
      </c>
      <c r="E504" s="2">
        <v>45799</v>
      </c>
      <c r="F504" s="2" cm="1">
        <f t="array" ref="F504">_xlfn.IFS(B504="Owner Surrender",E504,B504="Stray",E504+6,B504="Stray w/identification",E504+11,B504="Bite",E504+10,B504="Other",Blank)</f>
        <v>45805</v>
      </c>
      <c r="G504" s="2">
        <v>45807</v>
      </c>
      <c r="H504" s="6">
        <f t="shared" si="21"/>
        <v>8</v>
      </c>
      <c r="I504" s="6">
        <f t="shared" si="20"/>
        <v>2</v>
      </c>
      <c r="J504" s="2" t="s">
        <v>31</v>
      </c>
    </row>
    <row r="505" spans="1:12" x14ac:dyDescent="0.25">
      <c r="A505" s="1">
        <v>40490</v>
      </c>
      <c r="B505" s="2" t="s">
        <v>38</v>
      </c>
      <c r="C505" t="s">
        <v>10</v>
      </c>
      <c r="D505" t="s">
        <v>209</v>
      </c>
      <c r="E505" s="2">
        <v>45799</v>
      </c>
      <c r="F505" s="2" cm="1">
        <f t="array" ref="F505">_xlfn.IFS(B505="Owner Surrender",E505,B505="Stray",E505+6,B505="Stray w/identification",E505+11,B505="Bite",E505+10,B505="Other",Blank)</f>
        <v>45805</v>
      </c>
      <c r="G505" s="2">
        <v>45807</v>
      </c>
      <c r="H505" s="6">
        <f t="shared" si="21"/>
        <v>8</v>
      </c>
      <c r="I505" s="6">
        <f t="shared" si="20"/>
        <v>2</v>
      </c>
      <c r="J505" s="2" t="s">
        <v>31</v>
      </c>
    </row>
    <row r="506" spans="1:12" x14ac:dyDescent="0.25">
      <c r="A506" s="3">
        <v>40491</v>
      </c>
      <c r="B506" s="2" t="s">
        <v>38</v>
      </c>
      <c r="C506" t="s">
        <v>7</v>
      </c>
      <c r="D506" t="s">
        <v>209</v>
      </c>
      <c r="E506" s="2">
        <v>45799</v>
      </c>
      <c r="F506" s="2" cm="1">
        <f t="array" ref="F506">_xlfn.IFS(B506="Owner Surrender",E506,B506="Stray",E506+6,B506="Stray w/identification",E506+11,B506="Bite",E506+10,B506="Other",Blank)</f>
        <v>45805</v>
      </c>
      <c r="G506" s="2">
        <v>45841</v>
      </c>
      <c r="H506" s="6">
        <f t="shared" si="21"/>
        <v>42</v>
      </c>
      <c r="I506" s="6">
        <f t="shared" si="20"/>
        <v>36</v>
      </c>
      <c r="J506" s="2" t="s">
        <v>31</v>
      </c>
    </row>
    <row r="507" spans="1:12" x14ac:dyDescent="0.25">
      <c r="A507" s="1">
        <v>40492</v>
      </c>
      <c r="B507" s="2" t="s">
        <v>38</v>
      </c>
      <c r="C507" t="s">
        <v>7</v>
      </c>
      <c r="D507" t="s">
        <v>209</v>
      </c>
      <c r="E507" s="2">
        <v>45799</v>
      </c>
      <c r="F507" s="2" cm="1">
        <f t="array" ref="F507">_xlfn.IFS(B507="Owner Surrender",E507,B507="Stray",E507+6,B507="Stray w/identification",E507+11,B507="Bite",E507+10,B507="Other",Blank)</f>
        <v>45805</v>
      </c>
      <c r="G507" s="2">
        <v>45802</v>
      </c>
      <c r="H507" s="6">
        <f t="shared" si="21"/>
        <v>3</v>
      </c>
      <c r="I507" s="6">
        <f t="shared" si="20"/>
        <v>-3</v>
      </c>
      <c r="J507" s="2" t="s">
        <v>31</v>
      </c>
    </row>
    <row r="508" spans="1:12" x14ac:dyDescent="0.25">
      <c r="A508" s="1">
        <v>40493</v>
      </c>
      <c r="B508" s="2" t="s">
        <v>38</v>
      </c>
      <c r="C508" t="s">
        <v>7</v>
      </c>
      <c r="D508" t="s">
        <v>209</v>
      </c>
      <c r="E508" s="2">
        <v>45799</v>
      </c>
      <c r="F508" s="2" cm="1">
        <f t="array" ref="F508">_xlfn.IFS(B508="Owner Surrender",E508,B508="Stray",E508+6,B508="Stray w/identification",E508+11,B508="Bite",E508+10,B508="Other",Blank)</f>
        <v>45805</v>
      </c>
      <c r="G508" s="2">
        <v>45807</v>
      </c>
      <c r="H508" s="6">
        <f t="shared" si="21"/>
        <v>8</v>
      </c>
      <c r="I508" s="6">
        <f t="shared" si="20"/>
        <v>2</v>
      </c>
      <c r="J508" s="2" t="s">
        <v>31</v>
      </c>
    </row>
    <row r="509" spans="1:12" x14ac:dyDescent="0.25">
      <c r="A509" s="1">
        <v>40495</v>
      </c>
      <c r="B509" s="2" t="s">
        <v>38</v>
      </c>
      <c r="C509" t="s">
        <v>7</v>
      </c>
      <c r="D509" t="s">
        <v>209</v>
      </c>
      <c r="E509" s="2">
        <v>45799</v>
      </c>
      <c r="F509" s="2" cm="1">
        <f t="array" ref="F509">_xlfn.IFS(B509="Owner Surrender",E509,B509="Stray",E509+6,B509="Stray w/identification",E509+11,B509="Bite",E509+10,B509="Other",Blank)</f>
        <v>45805</v>
      </c>
      <c r="G509" s="2">
        <v>45799</v>
      </c>
      <c r="H509" s="6">
        <f t="shared" si="21"/>
        <v>0</v>
      </c>
      <c r="I509" s="6">
        <f t="shared" si="20"/>
        <v>-6</v>
      </c>
      <c r="J509" s="2" t="s">
        <v>31</v>
      </c>
      <c r="L509" t="s">
        <v>386</v>
      </c>
    </row>
    <row r="510" spans="1:12" x14ac:dyDescent="0.25">
      <c r="A510" s="1">
        <v>40498</v>
      </c>
      <c r="B510" s="2" t="s">
        <v>38</v>
      </c>
      <c r="C510" t="s">
        <v>7</v>
      </c>
      <c r="D510" t="s">
        <v>208</v>
      </c>
      <c r="E510" s="2">
        <v>45799</v>
      </c>
      <c r="F510" s="2" cm="1">
        <f t="array" ref="F510">_xlfn.IFS(B510="Owner Surrender",E510,B510="Stray",E510+6,B510="Stray w/identification",E510+11,B510="Bite",E510+10,B510="Other",Blank)</f>
        <v>45805</v>
      </c>
      <c r="G510" s="2">
        <v>45807</v>
      </c>
      <c r="H510" s="6">
        <f t="shared" si="21"/>
        <v>8</v>
      </c>
      <c r="I510" s="6">
        <f t="shared" si="20"/>
        <v>2</v>
      </c>
      <c r="J510" s="2" t="s">
        <v>31</v>
      </c>
      <c r="L510" t="s">
        <v>34</v>
      </c>
    </row>
    <row r="511" spans="1:12" x14ac:dyDescent="0.25">
      <c r="A511" s="1">
        <v>40501</v>
      </c>
      <c r="B511" s="2" t="s">
        <v>38</v>
      </c>
      <c r="C511" t="s">
        <v>7</v>
      </c>
      <c r="D511" t="s">
        <v>209</v>
      </c>
      <c r="E511" s="2">
        <v>45800</v>
      </c>
      <c r="F511" s="2" cm="1">
        <f t="array" ref="F511">_xlfn.IFS(B511="Owner Surrender",E511,B511="Stray",E511+6,B511="Stray w/identification",E511+11,B511="Bite",E511+10,B511="Other",Blank)</f>
        <v>45806</v>
      </c>
      <c r="G511" s="2">
        <v>45807</v>
      </c>
      <c r="H511" s="6">
        <f t="shared" si="21"/>
        <v>7</v>
      </c>
      <c r="I511" s="6">
        <f t="shared" si="20"/>
        <v>1</v>
      </c>
      <c r="J511" s="2" t="s">
        <v>31</v>
      </c>
    </row>
    <row r="512" spans="1:12" x14ac:dyDescent="0.25">
      <c r="A512" s="1">
        <v>40502</v>
      </c>
      <c r="B512" s="2" t="s">
        <v>38</v>
      </c>
      <c r="C512" t="s">
        <v>7</v>
      </c>
      <c r="D512" t="s">
        <v>209</v>
      </c>
      <c r="E512" s="2">
        <v>45800</v>
      </c>
      <c r="F512" s="2" cm="1">
        <f t="array" ref="F512">_xlfn.IFS(B512="Owner Surrender",E512,B512="Stray",E512+6,B512="Stray w/identification",E512+11,B512="Bite",E512+10,B512="Other",Blank)</f>
        <v>45806</v>
      </c>
      <c r="G512" s="2">
        <v>45807</v>
      </c>
      <c r="H512" s="6">
        <f t="shared" si="21"/>
        <v>7</v>
      </c>
      <c r="I512" s="6">
        <f t="shared" si="20"/>
        <v>1</v>
      </c>
      <c r="J512" s="2" t="s">
        <v>31</v>
      </c>
    </row>
    <row r="513" spans="1:12" x14ac:dyDescent="0.25">
      <c r="A513" s="1">
        <v>40503</v>
      </c>
      <c r="B513" s="2" t="s">
        <v>38</v>
      </c>
      <c r="C513" t="s">
        <v>7</v>
      </c>
      <c r="D513" t="s">
        <v>209</v>
      </c>
      <c r="E513" s="2">
        <v>45800</v>
      </c>
      <c r="F513" s="2" cm="1">
        <f t="array" ref="F513">_xlfn.IFS(B513="Owner Surrender",E513,B513="Stray",E513+6,B513="Stray w/identification",E513+11,B513="Bite",E513+10,B513="Other",Blank)</f>
        <v>45806</v>
      </c>
      <c r="G513" s="2">
        <v>45807</v>
      </c>
      <c r="H513" s="6">
        <f t="shared" si="21"/>
        <v>7</v>
      </c>
      <c r="I513" s="6">
        <f t="shared" si="20"/>
        <v>1</v>
      </c>
      <c r="J513" s="2" t="s">
        <v>31</v>
      </c>
    </row>
    <row r="514" spans="1:12" x14ac:dyDescent="0.25">
      <c r="A514" s="1">
        <v>40504</v>
      </c>
      <c r="B514" s="2" t="s">
        <v>38</v>
      </c>
      <c r="C514" t="s">
        <v>7</v>
      </c>
      <c r="D514" t="s">
        <v>209</v>
      </c>
      <c r="E514" s="2">
        <v>45800</v>
      </c>
      <c r="F514" s="2" cm="1">
        <f t="array" ref="F514">_xlfn.IFS(B514="Owner Surrender",E514,B514="Stray",E514+6,B514="Stray w/identification",E514+11,B514="Bite",E514+10,B514="Other",Blank)</f>
        <v>45806</v>
      </c>
      <c r="G514" s="2">
        <v>45807</v>
      </c>
      <c r="H514" s="6">
        <f t="shared" si="21"/>
        <v>7</v>
      </c>
      <c r="I514" s="6">
        <f t="shared" si="20"/>
        <v>1</v>
      </c>
      <c r="J514" s="2" t="s">
        <v>31</v>
      </c>
    </row>
    <row r="515" spans="1:12" x14ac:dyDescent="0.25">
      <c r="A515" s="1">
        <v>40505</v>
      </c>
      <c r="B515" s="2" t="s">
        <v>36</v>
      </c>
      <c r="C515" t="s">
        <v>7</v>
      </c>
      <c r="D515" t="s">
        <v>209</v>
      </c>
      <c r="E515" s="2">
        <v>45800</v>
      </c>
      <c r="F515" s="2" cm="1">
        <f t="array" ref="F515">_xlfn.IFS(B515="Owner Surrender",E515,B515="Stray",E515+6,B515="Stray w/identification",E515+11,B515="Bite",E515+10,B515="Other",Blank)</f>
        <v>45800</v>
      </c>
      <c r="G515" s="2">
        <v>45831</v>
      </c>
      <c r="H515" s="6">
        <f t="shared" si="21"/>
        <v>31</v>
      </c>
      <c r="I515" s="6">
        <f t="shared" si="20"/>
        <v>31</v>
      </c>
      <c r="J515" s="2" t="s">
        <v>31</v>
      </c>
    </row>
    <row r="516" spans="1:12" x14ac:dyDescent="0.25">
      <c r="A516" s="1">
        <v>40506</v>
      </c>
      <c r="B516" s="2" t="s">
        <v>36</v>
      </c>
      <c r="C516" t="s">
        <v>7</v>
      </c>
      <c r="D516" t="s">
        <v>209</v>
      </c>
      <c r="E516" s="2">
        <v>45800</v>
      </c>
      <c r="F516" s="2" cm="1">
        <f t="array" ref="F516">_xlfn.IFS(B516="Owner Surrender",E516,B516="Stray",E516+6,B516="Stray w/identification",E516+11,B516="Bite",E516+10,B516="Other",Blank)</f>
        <v>45800</v>
      </c>
      <c r="G516" s="2">
        <v>45817</v>
      </c>
      <c r="H516" s="6">
        <f t="shared" si="21"/>
        <v>17</v>
      </c>
      <c r="I516" s="6">
        <f t="shared" si="20"/>
        <v>17</v>
      </c>
      <c r="J516" s="2" t="s">
        <v>11</v>
      </c>
    </row>
    <row r="517" spans="1:12" x14ac:dyDescent="0.25">
      <c r="A517" s="1">
        <v>40507</v>
      </c>
      <c r="B517" s="2" t="s">
        <v>38</v>
      </c>
      <c r="C517" t="s">
        <v>7</v>
      </c>
      <c r="D517" t="s">
        <v>209</v>
      </c>
      <c r="E517" s="2">
        <v>45800</v>
      </c>
      <c r="F517" s="2" cm="1">
        <f t="array" ref="F517">_xlfn.IFS(B517="Owner Surrender",E517,B517="Stray",E517+6,B517="Stray w/identification",E517+11,B517="Bite",E517+10,B517="Other",Blank)</f>
        <v>45806</v>
      </c>
      <c r="G517" s="2">
        <v>45806</v>
      </c>
      <c r="H517" s="6">
        <f t="shared" si="21"/>
        <v>6</v>
      </c>
      <c r="I517" s="6">
        <f t="shared" si="20"/>
        <v>0</v>
      </c>
      <c r="J517" s="2" t="s">
        <v>28</v>
      </c>
      <c r="L517" t="s">
        <v>371</v>
      </c>
    </row>
    <row r="518" spans="1:12" x14ac:dyDescent="0.25">
      <c r="A518" s="1">
        <v>40508</v>
      </c>
      <c r="B518" s="2" t="s">
        <v>38</v>
      </c>
      <c r="C518" t="s">
        <v>7</v>
      </c>
      <c r="D518" t="s">
        <v>209</v>
      </c>
      <c r="E518" s="2">
        <v>45800</v>
      </c>
      <c r="F518" s="2" cm="1">
        <f t="array" ref="F518">_xlfn.IFS(B518="Owner Surrender",E518,B518="Stray",E518+6,B518="Stray w/identification",E518+11,B518="Bite",E518+10,B518="Other",Blank)</f>
        <v>45806</v>
      </c>
      <c r="G518" s="2">
        <v>45820</v>
      </c>
      <c r="H518" s="6">
        <f t="shared" si="21"/>
        <v>20</v>
      </c>
      <c r="I518" s="6">
        <f t="shared" si="20"/>
        <v>14</v>
      </c>
      <c r="J518" s="2" t="s">
        <v>11</v>
      </c>
    </row>
    <row r="519" spans="1:12" x14ac:dyDescent="0.25">
      <c r="A519" s="1">
        <v>40509</v>
      </c>
      <c r="B519" s="2" t="s">
        <v>36</v>
      </c>
      <c r="C519" t="s">
        <v>7</v>
      </c>
      <c r="D519" t="s">
        <v>208</v>
      </c>
      <c r="E519" s="2">
        <v>45800</v>
      </c>
      <c r="F519" s="2" cm="1">
        <f t="array" ref="F519">_xlfn.IFS(B519="Owner Surrender",E519,B519="Stray",E519+6,B519="Stray w/identification",E519+11,B519="Bite",E519+10,B519="Other",Blank)</f>
        <v>45800</v>
      </c>
      <c r="G519" s="2">
        <v>45801</v>
      </c>
      <c r="H519" s="6">
        <f t="shared" si="21"/>
        <v>1</v>
      </c>
      <c r="I519" s="6">
        <f t="shared" si="20"/>
        <v>1</v>
      </c>
      <c r="J519" s="2" t="s">
        <v>31</v>
      </c>
      <c r="L519" t="s">
        <v>388</v>
      </c>
    </row>
    <row r="520" spans="1:12" x14ac:dyDescent="0.25">
      <c r="A520" s="1">
        <v>40510</v>
      </c>
      <c r="B520" s="2" t="s">
        <v>36</v>
      </c>
      <c r="C520" t="s">
        <v>7</v>
      </c>
      <c r="D520" t="s">
        <v>208</v>
      </c>
      <c r="E520" s="2">
        <v>45800</v>
      </c>
      <c r="F520" s="2" cm="1">
        <f t="array" ref="F520">_xlfn.IFS(B520="Owner Surrender",E520,B520="Stray",E520+6,B520="Stray w/identification",E520+11,B520="Bite",E520+10,B520="Other",Blank)</f>
        <v>45800</v>
      </c>
      <c r="G520" s="2">
        <v>45801</v>
      </c>
      <c r="H520" s="6">
        <f t="shared" si="21"/>
        <v>1</v>
      </c>
      <c r="I520" s="6">
        <f t="shared" si="20"/>
        <v>1</v>
      </c>
      <c r="J520" s="2" t="s">
        <v>31</v>
      </c>
    </row>
    <row r="521" spans="1:12" x14ac:dyDescent="0.25">
      <c r="A521" s="1">
        <v>40511</v>
      </c>
      <c r="B521" s="2" t="s">
        <v>36</v>
      </c>
      <c r="C521" t="s">
        <v>15</v>
      </c>
      <c r="D521" t="s">
        <v>209</v>
      </c>
      <c r="E521" s="2">
        <v>45800</v>
      </c>
      <c r="F521" s="2" cm="1">
        <f t="array" ref="F521">_xlfn.IFS(B521="Owner Surrender",E521,B521="Stray",E521+6,B521="Stray w/identification",E521+11,B521="Bite",E521+10,B521="Other",Blank)</f>
        <v>45800</v>
      </c>
      <c r="G521" s="2">
        <v>45801</v>
      </c>
      <c r="H521" s="6">
        <f t="shared" si="21"/>
        <v>1</v>
      </c>
      <c r="I521" s="6">
        <f t="shared" si="20"/>
        <v>1</v>
      </c>
      <c r="J521" s="2" t="s">
        <v>31</v>
      </c>
      <c r="L521" t="s">
        <v>386</v>
      </c>
    </row>
    <row r="522" spans="1:12" x14ac:dyDescent="0.25">
      <c r="A522" s="1">
        <v>40512</v>
      </c>
      <c r="B522" s="2" t="s">
        <v>36</v>
      </c>
      <c r="C522" t="s">
        <v>7</v>
      </c>
      <c r="D522" t="s">
        <v>209</v>
      </c>
      <c r="E522" s="2">
        <v>45800</v>
      </c>
      <c r="F522" s="2" cm="1">
        <f t="array" ref="F522">_xlfn.IFS(B522="Owner Surrender",E522,B522="Stray",E522+6,B522="Stray w/identification",E522+11,B522="Bite",E522+10,B522="Other",Blank)</f>
        <v>45800</v>
      </c>
      <c r="G522" s="2">
        <v>45801</v>
      </c>
      <c r="H522" s="6">
        <f t="shared" si="21"/>
        <v>1</v>
      </c>
      <c r="I522" s="6">
        <f t="shared" si="20"/>
        <v>1</v>
      </c>
      <c r="J522" s="2" t="s">
        <v>31</v>
      </c>
      <c r="L522" t="s">
        <v>386</v>
      </c>
    </row>
    <row r="523" spans="1:12" x14ac:dyDescent="0.25">
      <c r="A523" s="1">
        <v>40513</v>
      </c>
      <c r="B523" s="2" t="s">
        <v>36</v>
      </c>
      <c r="C523" t="s">
        <v>7</v>
      </c>
      <c r="D523" t="s">
        <v>209</v>
      </c>
      <c r="E523" s="2">
        <v>45800</v>
      </c>
      <c r="F523" s="2" cm="1">
        <f t="array" ref="F523">_xlfn.IFS(B523="Owner Surrender",E523,B523="Stray",E523+6,B523="Stray w/identification",E523+11,B523="Bite",E523+10,B523="Other",Blank)</f>
        <v>45800</v>
      </c>
      <c r="G523" s="2">
        <v>45801</v>
      </c>
      <c r="H523" s="6">
        <f t="shared" si="21"/>
        <v>1</v>
      </c>
      <c r="I523" s="6">
        <f t="shared" si="20"/>
        <v>1</v>
      </c>
      <c r="J523" s="2" t="s">
        <v>31</v>
      </c>
    </row>
    <row r="524" spans="1:12" x14ac:dyDescent="0.25">
      <c r="A524" s="1">
        <v>40514</v>
      </c>
      <c r="B524" s="2" t="s">
        <v>36</v>
      </c>
      <c r="C524" t="s">
        <v>7</v>
      </c>
      <c r="D524" t="s">
        <v>209</v>
      </c>
      <c r="E524" s="2">
        <v>45800</v>
      </c>
      <c r="F524" s="2" cm="1">
        <f t="array" ref="F524">_xlfn.IFS(B524="Owner Surrender",E524,B524="Stray",E524+6,B524="Stray w/identification",E524+11,B524="Bite",E524+10,B524="Other",Blank)</f>
        <v>45800</v>
      </c>
      <c r="G524" s="2">
        <v>45801</v>
      </c>
      <c r="H524" s="6">
        <f t="shared" si="21"/>
        <v>1</v>
      </c>
      <c r="I524" s="6">
        <f t="shared" si="20"/>
        <v>1</v>
      </c>
      <c r="J524" s="2" t="s">
        <v>31</v>
      </c>
    </row>
    <row r="525" spans="1:12" x14ac:dyDescent="0.25">
      <c r="A525" s="1">
        <v>40515</v>
      </c>
      <c r="B525" s="2" t="s">
        <v>36</v>
      </c>
      <c r="C525" t="s">
        <v>7</v>
      </c>
      <c r="D525" t="s">
        <v>209</v>
      </c>
      <c r="E525" s="2">
        <v>45800</v>
      </c>
      <c r="F525" s="2" cm="1">
        <f t="array" ref="F525">_xlfn.IFS(B525="Owner Surrender",E525,B525="Stray",E525+6,B525="Stray w/identification",E525+11,B525="Bite",E525+10,B525="Other",Blank)</f>
        <v>45800</v>
      </c>
      <c r="G525" s="2">
        <v>45801</v>
      </c>
      <c r="H525" s="6">
        <f t="shared" si="21"/>
        <v>1</v>
      </c>
      <c r="I525" s="6">
        <f t="shared" si="20"/>
        <v>1</v>
      </c>
      <c r="J525" s="2" t="s">
        <v>31</v>
      </c>
      <c r="L525" t="s">
        <v>386</v>
      </c>
    </row>
    <row r="526" spans="1:12" x14ac:dyDescent="0.25">
      <c r="A526" s="1">
        <v>40516</v>
      </c>
      <c r="B526" s="2" t="s">
        <v>36</v>
      </c>
      <c r="C526" t="s">
        <v>7</v>
      </c>
      <c r="D526" t="s">
        <v>209</v>
      </c>
      <c r="E526" s="2">
        <v>45800</v>
      </c>
      <c r="F526" s="2" cm="1">
        <f t="array" ref="F526">_xlfn.IFS(B526="Owner Surrender",E526,B526="Stray",E526+6,B526="Stray w/identification",E526+11,B526="Bite",E526+10,B526="Other",Blank)</f>
        <v>45800</v>
      </c>
      <c r="G526" s="2">
        <v>45801</v>
      </c>
      <c r="H526" s="6">
        <f t="shared" si="21"/>
        <v>1</v>
      </c>
      <c r="I526" s="6">
        <f t="shared" si="20"/>
        <v>1</v>
      </c>
      <c r="J526" s="2" t="s">
        <v>31</v>
      </c>
    </row>
    <row r="527" spans="1:12" x14ac:dyDescent="0.25">
      <c r="A527" s="1">
        <v>40517</v>
      </c>
      <c r="B527" s="2" t="s">
        <v>38</v>
      </c>
      <c r="C527" t="s">
        <v>7</v>
      </c>
      <c r="D527" t="s">
        <v>209</v>
      </c>
      <c r="E527" s="2">
        <v>45801</v>
      </c>
      <c r="F527" s="2" cm="1">
        <f t="array" ref="F527">_xlfn.IFS(B527="Owner Surrender",E527,B527="Stray",E527+6,B527="Stray w/identification",E527+11,B527="Bite",E527+10,B527="Other",Blank)</f>
        <v>45807</v>
      </c>
      <c r="G527" s="2">
        <v>45812</v>
      </c>
      <c r="H527" s="6">
        <f t="shared" si="21"/>
        <v>11</v>
      </c>
      <c r="I527" s="6">
        <f t="shared" si="20"/>
        <v>5</v>
      </c>
      <c r="J527" s="2" t="s">
        <v>31</v>
      </c>
    </row>
    <row r="528" spans="1:12" x14ac:dyDescent="0.25">
      <c r="A528" s="1">
        <v>40518</v>
      </c>
      <c r="B528" s="2" t="s">
        <v>38</v>
      </c>
      <c r="C528" t="s">
        <v>10</v>
      </c>
      <c r="D528" t="s">
        <v>208</v>
      </c>
      <c r="E528" s="2">
        <v>45801</v>
      </c>
      <c r="F528" s="2" cm="1">
        <f t="array" ref="F528">_xlfn.IFS(B528="Owner Surrender",E528,B528="Stray",E528+6,B528="Stray w/identification",E528+11,B528="Bite",E528+10,B528="Other",Blank)</f>
        <v>45807</v>
      </c>
      <c r="G528" s="2">
        <v>45810</v>
      </c>
      <c r="H528" s="6">
        <f t="shared" si="21"/>
        <v>9</v>
      </c>
      <c r="I528" s="6">
        <f t="shared" si="20"/>
        <v>3</v>
      </c>
      <c r="J528" s="2" t="s">
        <v>31</v>
      </c>
      <c r="L528" t="s">
        <v>34</v>
      </c>
    </row>
    <row r="529" spans="1:12" x14ac:dyDescent="0.25">
      <c r="A529" s="3">
        <v>40519</v>
      </c>
      <c r="B529" s="2" t="s">
        <v>38</v>
      </c>
      <c r="C529" t="s">
        <v>10</v>
      </c>
      <c r="D529" t="s">
        <v>209</v>
      </c>
      <c r="E529" s="2">
        <v>45801</v>
      </c>
      <c r="F529" s="2" cm="1">
        <f t="array" ref="F529">_xlfn.IFS(B529="Owner Surrender",E529,B529="Stray",E529+6,B529="Stray w/identification",E529+11,B529="Bite",E529+10,B529="Other",Blank)</f>
        <v>45807</v>
      </c>
      <c r="G529" s="2">
        <v>45849</v>
      </c>
      <c r="H529" s="6">
        <f t="shared" si="21"/>
        <v>48</v>
      </c>
      <c r="I529" s="6">
        <f t="shared" si="20"/>
        <v>42</v>
      </c>
      <c r="J529" s="2" t="s">
        <v>11</v>
      </c>
    </row>
    <row r="530" spans="1:12" x14ac:dyDescent="0.25">
      <c r="A530" s="1">
        <v>40520</v>
      </c>
      <c r="B530" s="2" t="s">
        <v>38</v>
      </c>
      <c r="C530" t="s">
        <v>7</v>
      </c>
      <c r="D530" t="s">
        <v>208</v>
      </c>
      <c r="E530" s="2">
        <v>45801</v>
      </c>
      <c r="F530" s="2" cm="1">
        <f t="array" ref="F530">_xlfn.IFS(B530="Owner Surrender",E530,B530="Stray",E530+6,B530="Stray w/identification",E530+11,B530="Bite",E530+10,B530="Other",Blank)</f>
        <v>45807</v>
      </c>
      <c r="G530" s="2">
        <v>45812</v>
      </c>
      <c r="H530" s="6">
        <f t="shared" si="21"/>
        <v>11</v>
      </c>
      <c r="I530" s="6">
        <f t="shared" si="20"/>
        <v>5</v>
      </c>
      <c r="J530" s="2" t="s">
        <v>31</v>
      </c>
    </row>
    <row r="531" spans="1:12" x14ac:dyDescent="0.25">
      <c r="A531" s="1">
        <v>40522</v>
      </c>
      <c r="B531" s="2" t="s">
        <v>38</v>
      </c>
      <c r="C531" t="s">
        <v>7</v>
      </c>
      <c r="D531" t="s">
        <v>209</v>
      </c>
      <c r="E531" s="2">
        <v>45801</v>
      </c>
      <c r="F531" s="2" cm="1">
        <f t="array" ref="F531">_xlfn.IFS(B531="Owner Surrender",E531,B531="Stray",E531+6,B531="Stray w/identification",E531+11,B531="Bite",E531+10,B531="Other",Blank)</f>
        <v>45807</v>
      </c>
      <c r="G531" s="2">
        <v>45812</v>
      </c>
      <c r="H531" s="6">
        <f t="shared" si="21"/>
        <v>11</v>
      </c>
      <c r="I531" s="6">
        <f t="shared" si="20"/>
        <v>5</v>
      </c>
      <c r="J531" s="2" t="s">
        <v>31</v>
      </c>
    </row>
    <row r="532" spans="1:12" x14ac:dyDescent="0.25">
      <c r="A532" s="1">
        <v>40523</v>
      </c>
      <c r="B532" s="2" t="s">
        <v>38</v>
      </c>
      <c r="C532" t="s">
        <v>7</v>
      </c>
      <c r="D532" t="s">
        <v>209</v>
      </c>
      <c r="E532" s="2">
        <v>45801</v>
      </c>
      <c r="F532" s="2" cm="1">
        <f t="array" ref="F532">_xlfn.IFS(B532="Owner Surrender",E532,B532="Stray",E532+6,B532="Stray w/identification",E532+11,B532="Bite",E532+10,B532="Other",Blank)</f>
        <v>45807</v>
      </c>
      <c r="G532" s="2">
        <v>45812</v>
      </c>
      <c r="H532" s="6">
        <f t="shared" si="21"/>
        <v>11</v>
      </c>
      <c r="I532" s="6">
        <f t="shared" si="20"/>
        <v>5</v>
      </c>
      <c r="J532" s="2" t="s">
        <v>31</v>
      </c>
    </row>
    <row r="533" spans="1:12" x14ac:dyDescent="0.25">
      <c r="A533" s="1">
        <v>40524</v>
      </c>
      <c r="B533" s="2" t="s">
        <v>36</v>
      </c>
      <c r="C533" t="s">
        <v>7</v>
      </c>
      <c r="D533" t="s">
        <v>208</v>
      </c>
      <c r="E533" s="2">
        <v>45801</v>
      </c>
      <c r="F533" s="2" cm="1">
        <f t="array" ref="F533">_xlfn.IFS(B533="Owner Surrender",E533,B533="Stray",E533+6,B533="Stray w/identification",E533+11,B533="Bite",E533+10,B533="Other",Blank)</f>
        <v>45801</v>
      </c>
      <c r="G533" s="2">
        <v>45810</v>
      </c>
      <c r="H533" s="6">
        <f t="shared" si="21"/>
        <v>9</v>
      </c>
      <c r="I533" s="6">
        <f t="shared" si="20"/>
        <v>9</v>
      </c>
      <c r="J533" s="2" t="s">
        <v>31</v>
      </c>
    </row>
    <row r="534" spans="1:12" x14ac:dyDescent="0.25">
      <c r="A534" s="1">
        <v>40525</v>
      </c>
      <c r="B534" s="2" t="s">
        <v>36</v>
      </c>
      <c r="C534" t="s">
        <v>7</v>
      </c>
      <c r="D534" t="s">
        <v>208</v>
      </c>
      <c r="E534" s="2">
        <v>45801</v>
      </c>
      <c r="F534" s="2" cm="1">
        <f t="array" ref="F534">_xlfn.IFS(B534="Owner Surrender",E534,B534="Stray",E534+6,B534="Stray w/identification",E534+11,B534="Bite",E534+10,B534="Other",Blank)</f>
        <v>45801</v>
      </c>
      <c r="G534" s="2">
        <v>45810</v>
      </c>
      <c r="H534" s="6">
        <f t="shared" si="21"/>
        <v>9</v>
      </c>
      <c r="I534" s="6">
        <f t="shared" si="20"/>
        <v>9</v>
      </c>
      <c r="J534" s="2" t="s">
        <v>31</v>
      </c>
    </row>
    <row r="535" spans="1:12" x14ac:dyDescent="0.25">
      <c r="A535" s="1">
        <v>40527</v>
      </c>
      <c r="B535" s="2" t="s">
        <v>36</v>
      </c>
      <c r="C535" t="s">
        <v>15</v>
      </c>
      <c r="D535" t="s">
        <v>210</v>
      </c>
      <c r="E535" s="2">
        <v>45803</v>
      </c>
      <c r="F535" s="2" cm="1">
        <f t="array" ref="F535">_xlfn.IFS(B535="Owner Surrender",E535,B535="Stray",E535+6,B535="Stray w/identification",E535+11,B535="Bite",E535+10,B535="Other",Blank)</f>
        <v>45803</v>
      </c>
      <c r="G535" s="2">
        <v>45812</v>
      </c>
      <c r="H535" s="6">
        <f t="shared" si="21"/>
        <v>9</v>
      </c>
      <c r="I535" s="6">
        <f t="shared" si="20"/>
        <v>9</v>
      </c>
      <c r="J535" s="2" t="s">
        <v>31</v>
      </c>
    </row>
    <row r="536" spans="1:12" x14ac:dyDescent="0.25">
      <c r="A536" s="1">
        <v>40532</v>
      </c>
      <c r="B536" s="2" t="s">
        <v>38</v>
      </c>
      <c r="C536" t="s">
        <v>10</v>
      </c>
      <c r="D536" t="s">
        <v>209</v>
      </c>
      <c r="E536" s="2">
        <v>45803</v>
      </c>
      <c r="F536" s="2" cm="1">
        <f t="array" ref="F536">_xlfn.IFS(B536="Owner Surrender",E536,B536="Stray",E536+6,B536="Stray w/identification",E536+11,B536="Bite",E536+10,B536="Other",Blank)</f>
        <v>45809</v>
      </c>
      <c r="G536" s="2">
        <v>45814</v>
      </c>
      <c r="H536" s="6">
        <f t="shared" si="21"/>
        <v>11</v>
      </c>
      <c r="I536" s="6">
        <f t="shared" si="20"/>
        <v>5</v>
      </c>
      <c r="J536" s="2" t="s">
        <v>28</v>
      </c>
      <c r="L536" t="s">
        <v>371</v>
      </c>
    </row>
    <row r="537" spans="1:12" x14ac:dyDescent="0.25">
      <c r="A537" s="1">
        <v>40534</v>
      </c>
      <c r="B537" s="2" t="s">
        <v>38</v>
      </c>
      <c r="C537" t="s">
        <v>7</v>
      </c>
      <c r="D537" t="s">
        <v>209</v>
      </c>
      <c r="E537" s="2">
        <v>45793</v>
      </c>
      <c r="F537" s="2" cm="1">
        <f t="array" ref="F537">_xlfn.IFS(B537="Owner Surrender",E537,B537="Stray",E537+6,B537="Stray w/identification",E537+11,B537="Bite",E537+10,B537="Other",Blank)</f>
        <v>45799</v>
      </c>
      <c r="G537" s="2">
        <v>45800</v>
      </c>
      <c r="H537" s="6">
        <f t="shared" si="21"/>
        <v>7</v>
      </c>
      <c r="I537" s="6">
        <f t="shared" si="20"/>
        <v>1</v>
      </c>
      <c r="J537" s="2" t="s">
        <v>31</v>
      </c>
    </row>
    <row r="538" spans="1:12" x14ac:dyDescent="0.25">
      <c r="A538" s="1">
        <v>40539</v>
      </c>
      <c r="B538" s="2" t="s">
        <v>38</v>
      </c>
      <c r="C538" t="s">
        <v>7</v>
      </c>
      <c r="D538" t="s">
        <v>209</v>
      </c>
      <c r="E538" s="2">
        <v>45804</v>
      </c>
      <c r="F538" s="2" cm="1">
        <f t="array" ref="F538">_xlfn.IFS(B538="Owner Surrender",E538,B538="Stray",E538+6,B538="Stray w/identification",E538+11,B538="Bite",E538+10,B538="Other",Blank)</f>
        <v>45810</v>
      </c>
      <c r="G538" s="2">
        <v>45804</v>
      </c>
      <c r="H538" s="6">
        <f t="shared" si="21"/>
        <v>0</v>
      </c>
      <c r="I538" s="6">
        <f t="shared" si="20"/>
        <v>-6</v>
      </c>
      <c r="J538" s="2" t="s">
        <v>31</v>
      </c>
      <c r="L538" t="s">
        <v>400</v>
      </c>
    </row>
    <row r="539" spans="1:12" x14ac:dyDescent="0.25">
      <c r="A539" s="1">
        <v>40540</v>
      </c>
      <c r="B539" s="2" t="s">
        <v>38</v>
      </c>
      <c r="C539" t="s">
        <v>7</v>
      </c>
      <c r="D539" t="s">
        <v>208</v>
      </c>
      <c r="E539" s="2">
        <v>45804</v>
      </c>
      <c r="F539" s="2" cm="1">
        <f t="array" ref="F539">_xlfn.IFS(B539="Owner Surrender",E539,B539="Stray",E539+6,B539="Stray w/identification",E539+11,B539="Bite",E539+10,B539="Other",Blank)</f>
        <v>45810</v>
      </c>
      <c r="G539" s="2">
        <v>45817</v>
      </c>
      <c r="H539" s="6">
        <f t="shared" si="21"/>
        <v>13</v>
      </c>
      <c r="I539" s="6">
        <f t="shared" si="20"/>
        <v>7</v>
      </c>
      <c r="J539" s="2" t="s">
        <v>31</v>
      </c>
      <c r="K539" t="s">
        <v>403</v>
      </c>
      <c r="L539" t="s">
        <v>34</v>
      </c>
    </row>
    <row r="540" spans="1:12" x14ac:dyDescent="0.25">
      <c r="A540" s="1">
        <v>40541</v>
      </c>
      <c r="B540" s="2" t="s">
        <v>38</v>
      </c>
      <c r="C540" t="s">
        <v>7</v>
      </c>
      <c r="D540" t="s">
        <v>209</v>
      </c>
      <c r="E540" s="2">
        <v>45803</v>
      </c>
      <c r="F540" s="2" cm="1">
        <f t="array" ref="F540">_xlfn.IFS(B540="Owner Surrender",E540,B540="Stray",E540+6,B540="Stray w/identification",E540+11,B540="Bite",E540+10,B540="Other",Blank)</f>
        <v>45809</v>
      </c>
      <c r="G540" s="2">
        <v>45812</v>
      </c>
      <c r="H540" s="6">
        <f t="shared" si="21"/>
        <v>9</v>
      </c>
      <c r="I540" s="6">
        <f t="shared" si="20"/>
        <v>3</v>
      </c>
      <c r="J540" s="2" t="s">
        <v>31</v>
      </c>
    </row>
    <row r="541" spans="1:12" x14ac:dyDescent="0.25">
      <c r="A541" s="1">
        <v>40542</v>
      </c>
      <c r="B541" s="2" t="s">
        <v>36</v>
      </c>
      <c r="C541" t="s">
        <v>7</v>
      </c>
      <c r="D541" t="s">
        <v>209</v>
      </c>
      <c r="E541" s="2">
        <v>45805</v>
      </c>
      <c r="F541" s="2" cm="1">
        <f t="array" ref="F541">_xlfn.IFS(B541="Owner Surrender",E541,B541="Stray",E541+6,B541="Stray w/identification",E541+11,B541="Bite",E541+10,B541="Other",Blank)</f>
        <v>45805</v>
      </c>
      <c r="G541" s="2">
        <v>45807</v>
      </c>
      <c r="H541" s="6">
        <f t="shared" si="21"/>
        <v>2</v>
      </c>
      <c r="I541" s="6">
        <f t="shared" si="20"/>
        <v>2</v>
      </c>
      <c r="J541" s="2" t="s">
        <v>31</v>
      </c>
    </row>
    <row r="542" spans="1:12" x14ac:dyDescent="0.25">
      <c r="A542" s="1">
        <v>40543</v>
      </c>
      <c r="B542" s="2" t="s">
        <v>36</v>
      </c>
      <c r="C542" t="s">
        <v>7</v>
      </c>
      <c r="D542" t="s">
        <v>209</v>
      </c>
      <c r="E542" s="2">
        <v>45805</v>
      </c>
      <c r="F542" s="2" cm="1">
        <f t="array" ref="F542">_xlfn.IFS(B542="Owner Surrender",E542,B542="Stray",E542+6,B542="Stray w/identification",E542+11,B542="Bite",E542+10,B542="Other",Blank)</f>
        <v>45805</v>
      </c>
      <c r="G542" s="2">
        <v>45807</v>
      </c>
      <c r="H542" s="6">
        <f t="shared" si="21"/>
        <v>2</v>
      </c>
      <c r="I542" s="6">
        <f t="shared" si="20"/>
        <v>2</v>
      </c>
      <c r="J542" s="2" t="s">
        <v>31</v>
      </c>
    </row>
    <row r="543" spans="1:12" x14ac:dyDescent="0.25">
      <c r="A543" s="1">
        <v>40544</v>
      </c>
      <c r="B543" s="2" t="s">
        <v>36</v>
      </c>
      <c r="C543" t="s">
        <v>7</v>
      </c>
      <c r="D543" t="s">
        <v>209</v>
      </c>
      <c r="E543" s="2">
        <v>45805</v>
      </c>
      <c r="F543" s="2" cm="1">
        <f t="array" ref="F543">_xlfn.IFS(B543="Owner Surrender",E543,B543="Stray",E543+6,B543="Stray w/identification",E543+11,B543="Bite",E543+10,B543="Other",Blank)</f>
        <v>45805</v>
      </c>
      <c r="G543" s="2">
        <v>45807</v>
      </c>
      <c r="H543" s="6">
        <f t="shared" si="21"/>
        <v>2</v>
      </c>
      <c r="I543" s="6">
        <f t="shared" si="20"/>
        <v>2</v>
      </c>
      <c r="J543" s="2" t="s">
        <v>31</v>
      </c>
    </row>
    <row r="544" spans="1:12" x14ac:dyDescent="0.25">
      <c r="A544" s="1">
        <v>40545</v>
      </c>
      <c r="B544" s="2" t="s">
        <v>36</v>
      </c>
      <c r="C544" t="s">
        <v>7</v>
      </c>
      <c r="D544" t="s">
        <v>209</v>
      </c>
      <c r="E544" s="2">
        <v>45805</v>
      </c>
      <c r="F544" s="2" cm="1">
        <f t="array" ref="F544">_xlfn.IFS(B544="Owner Surrender",E544,B544="Stray",E544+6,B544="Stray w/identification",E544+11,B544="Bite",E544+10,B544="Other",Blank)</f>
        <v>45805</v>
      </c>
      <c r="G544" s="2">
        <v>45807</v>
      </c>
      <c r="H544" s="6">
        <f t="shared" si="21"/>
        <v>2</v>
      </c>
      <c r="I544" s="6">
        <f t="shared" si="20"/>
        <v>2</v>
      </c>
      <c r="J544" s="2" t="s">
        <v>31</v>
      </c>
    </row>
    <row r="545" spans="1:12" x14ac:dyDescent="0.25">
      <c r="A545" s="1">
        <v>40546</v>
      </c>
      <c r="B545" s="2" t="s">
        <v>36</v>
      </c>
      <c r="C545" t="s">
        <v>7</v>
      </c>
      <c r="D545" t="s">
        <v>209</v>
      </c>
      <c r="E545" s="2">
        <v>45805</v>
      </c>
      <c r="F545" s="2" cm="1">
        <f t="array" ref="F545">_xlfn.IFS(B545="Owner Surrender",E545,B545="Stray",E545+6,B545="Stray w/identification",E545+11,B545="Bite",E545+10,B545="Other",Blank)</f>
        <v>45805</v>
      </c>
      <c r="G545" s="2">
        <v>45807</v>
      </c>
      <c r="H545" s="6">
        <f t="shared" si="21"/>
        <v>2</v>
      </c>
      <c r="I545" s="6">
        <f t="shared" si="20"/>
        <v>2</v>
      </c>
      <c r="J545" s="2" t="s">
        <v>31</v>
      </c>
    </row>
    <row r="546" spans="1:12" x14ac:dyDescent="0.25">
      <c r="A546" s="1">
        <v>40547</v>
      </c>
      <c r="B546" s="2" t="s">
        <v>36</v>
      </c>
      <c r="C546" t="s">
        <v>7</v>
      </c>
      <c r="D546" t="s">
        <v>209</v>
      </c>
      <c r="E546" s="2">
        <v>45805</v>
      </c>
      <c r="F546" s="2" cm="1">
        <f t="array" ref="F546">_xlfn.IFS(B546="Owner Surrender",E546,B546="Stray",E546+6,B546="Stray w/identification",E546+11,B546="Bite",E546+10,B546="Other",Blank)</f>
        <v>45805</v>
      </c>
      <c r="G546" s="2">
        <v>45807</v>
      </c>
      <c r="H546" s="6">
        <f t="shared" si="21"/>
        <v>2</v>
      </c>
      <c r="I546" s="6">
        <f t="shared" si="20"/>
        <v>2</v>
      </c>
      <c r="J546" s="2" t="s">
        <v>31</v>
      </c>
    </row>
    <row r="547" spans="1:12" x14ac:dyDescent="0.25">
      <c r="A547" s="1">
        <v>40548</v>
      </c>
      <c r="B547" s="2" t="s">
        <v>36</v>
      </c>
      <c r="C547" t="s">
        <v>7</v>
      </c>
      <c r="D547" t="s">
        <v>209</v>
      </c>
      <c r="E547" s="2">
        <v>45805</v>
      </c>
      <c r="F547" s="2" cm="1">
        <f t="array" ref="F547">_xlfn.IFS(B547="Owner Surrender",E547,B547="Stray",E547+6,B547="Stray w/identification",E547+11,B547="Bite",E547+10,B547="Other",Blank)</f>
        <v>45805</v>
      </c>
      <c r="G547" s="2">
        <v>45807</v>
      </c>
      <c r="H547" s="6">
        <f t="shared" si="21"/>
        <v>2</v>
      </c>
      <c r="I547" s="6">
        <f t="shared" si="20"/>
        <v>2</v>
      </c>
      <c r="J547" s="2" t="s">
        <v>31</v>
      </c>
    </row>
    <row r="548" spans="1:12" x14ac:dyDescent="0.25">
      <c r="A548" s="1">
        <v>40549</v>
      </c>
      <c r="B548" s="2" t="s">
        <v>36</v>
      </c>
      <c r="C548" t="s">
        <v>7</v>
      </c>
      <c r="D548" t="s">
        <v>209</v>
      </c>
      <c r="E548" s="2">
        <v>45805</v>
      </c>
      <c r="F548" s="2" cm="1">
        <f t="array" ref="F548">_xlfn.IFS(B548="Owner Surrender",E548,B548="Stray",E548+6,B548="Stray w/identification",E548+11,B548="Bite",E548+10,B548="Other",Blank)</f>
        <v>45805</v>
      </c>
      <c r="G548" s="2">
        <v>45807</v>
      </c>
      <c r="H548" s="6">
        <f t="shared" si="21"/>
        <v>2</v>
      </c>
      <c r="I548" s="6">
        <f t="shared" si="20"/>
        <v>2</v>
      </c>
      <c r="J548" s="2" t="s">
        <v>31</v>
      </c>
    </row>
    <row r="549" spans="1:12" x14ac:dyDescent="0.25">
      <c r="A549" s="1">
        <v>40697</v>
      </c>
      <c r="B549" s="2" t="s">
        <v>38</v>
      </c>
      <c r="C549" t="s">
        <v>7</v>
      </c>
      <c r="D549" t="s">
        <v>208</v>
      </c>
      <c r="E549" s="2">
        <v>45804</v>
      </c>
      <c r="F549" s="2" cm="1">
        <f t="array" ref="F549">_xlfn.IFS(B549="Owner Surrender",E549,B549="Stray",E549+6,B549="Stray w/identification",E549+11,B549="Bite",E549+10,B549="Other",Blank)</f>
        <v>45810</v>
      </c>
      <c r="G549" s="2">
        <v>45812</v>
      </c>
      <c r="H549" s="6">
        <f t="shared" si="21"/>
        <v>8</v>
      </c>
      <c r="I549" s="6">
        <f t="shared" si="20"/>
        <v>2</v>
      </c>
      <c r="J549" s="2" t="s">
        <v>31</v>
      </c>
    </row>
    <row r="550" spans="1:12" x14ac:dyDescent="0.25">
      <c r="A550" s="1">
        <v>40698</v>
      </c>
      <c r="B550" s="2" t="s">
        <v>36</v>
      </c>
      <c r="C550" t="s">
        <v>7</v>
      </c>
      <c r="D550" t="s">
        <v>209</v>
      </c>
      <c r="E550" s="2">
        <v>45805</v>
      </c>
      <c r="F550" s="2" cm="1">
        <f t="array" ref="F550">_xlfn.IFS(B550="Owner Surrender",E550,B550="Stray",E550+6,B550="Stray w/identification",E550+11,B550="Bite",E550+10,B550="Other",Blank)</f>
        <v>45805</v>
      </c>
      <c r="G550" s="2">
        <v>45812</v>
      </c>
      <c r="H550" s="6">
        <f t="shared" si="21"/>
        <v>7</v>
      </c>
      <c r="I550" s="6">
        <f t="shared" ref="I550:I613" si="22">G550-F550</f>
        <v>7</v>
      </c>
      <c r="J550" s="2" t="s">
        <v>31</v>
      </c>
    </row>
    <row r="551" spans="1:12" x14ac:dyDescent="0.25">
      <c r="A551" s="1">
        <v>40699</v>
      </c>
      <c r="B551" s="2" t="s">
        <v>36</v>
      </c>
      <c r="C551" t="s">
        <v>7</v>
      </c>
      <c r="D551" t="s">
        <v>209</v>
      </c>
      <c r="E551" s="2">
        <v>45805</v>
      </c>
      <c r="F551" s="2" cm="1">
        <f t="array" ref="F551">_xlfn.IFS(B551="Owner Surrender",E551,B551="Stray",E551+6,B551="Stray w/identification",E551+11,B551="Bite",E551+10,B551="Other",Blank)</f>
        <v>45805</v>
      </c>
      <c r="G551" s="2">
        <v>45832</v>
      </c>
      <c r="H551" s="6">
        <f t="shared" si="21"/>
        <v>27</v>
      </c>
      <c r="I551" s="6">
        <f t="shared" si="22"/>
        <v>27</v>
      </c>
      <c r="J551" s="2" t="s">
        <v>31</v>
      </c>
    </row>
    <row r="552" spans="1:12" x14ac:dyDescent="0.25">
      <c r="A552" s="3">
        <v>40701</v>
      </c>
      <c r="B552" s="2" t="s">
        <v>36</v>
      </c>
      <c r="C552" t="s">
        <v>10</v>
      </c>
      <c r="D552" t="s">
        <v>209</v>
      </c>
      <c r="E552" s="2">
        <v>45805</v>
      </c>
      <c r="F552" s="2" cm="1">
        <f t="array" ref="F552">_xlfn.IFS(B552="Owner Surrender",E552,B552="Stray",E552+6,B552="Stray w/identification",E552+11,B552="Bite",E552+10,B552="Other",Blank)</f>
        <v>45805</v>
      </c>
      <c r="G552" s="2">
        <v>45841</v>
      </c>
      <c r="H552" s="6">
        <f t="shared" ref="H552:H615" si="23">+G552-E552</f>
        <v>36</v>
      </c>
      <c r="I552" s="6">
        <f t="shared" si="22"/>
        <v>36</v>
      </c>
      <c r="J552" s="2" t="s">
        <v>31</v>
      </c>
    </row>
    <row r="553" spans="1:12" x14ac:dyDescent="0.25">
      <c r="A553" s="1">
        <v>40703</v>
      </c>
      <c r="B553" s="2" t="s">
        <v>38</v>
      </c>
      <c r="C553" t="s">
        <v>7</v>
      </c>
      <c r="D553" t="s">
        <v>209</v>
      </c>
      <c r="E553" s="2">
        <v>45805</v>
      </c>
      <c r="F553" s="2" cm="1">
        <f t="array" ref="F553">_xlfn.IFS(B553="Owner Surrender",E553,B553="Stray",E553+6,B553="Stray w/identification",E553+11,B553="Bite",E553+10,B553="Other",Blank)</f>
        <v>45811</v>
      </c>
      <c r="G553" s="2">
        <v>45807</v>
      </c>
      <c r="H553" s="6">
        <f t="shared" si="23"/>
        <v>2</v>
      </c>
      <c r="I553" s="6">
        <f t="shared" si="22"/>
        <v>-4</v>
      </c>
      <c r="J553" s="2" t="s">
        <v>31</v>
      </c>
      <c r="L553" t="s">
        <v>399</v>
      </c>
    </row>
    <row r="554" spans="1:12" x14ac:dyDescent="0.25">
      <c r="A554" s="1">
        <v>40704</v>
      </c>
      <c r="B554" s="2" t="s">
        <v>38</v>
      </c>
      <c r="C554" t="s">
        <v>7</v>
      </c>
      <c r="D554" t="s">
        <v>209</v>
      </c>
      <c r="E554" s="2">
        <v>45805</v>
      </c>
      <c r="F554" s="2" cm="1">
        <f t="array" ref="F554">_xlfn.IFS(B554="Owner Surrender",E554,B554="Stray",E554+6,B554="Stray w/identification",E554+11,B554="Bite",E554+10,B554="Other",Blank)</f>
        <v>45811</v>
      </c>
      <c r="G554" s="2">
        <v>45807</v>
      </c>
      <c r="H554" s="6">
        <f t="shared" si="23"/>
        <v>2</v>
      </c>
      <c r="I554" s="6">
        <f t="shared" si="22"/>
        <v>-4</v>
      </c>
      <c r="J554" s="2" t="s">
        <v>31</v>
      </c>
      <c r="L554" t="s">
        <v>399</v>
      </c>
    </row>
    <row r="555" spans="1:12" x14ac:dyDescent="0.25">
      <c r="A555" s="1">
        <v>40705</v>
      </c>
      <c r="B555" s="2" t="s">
        <v>38</v>
      </c>
      <c r="C555" t="s">
        <v>7</v>
      </c>
      <c r="D555" t="s">
        <v>209</v>
      </c>
      <c r="E555" s="2">
        <v>45805</v>
      </c>
      <c r="F555" s="2" cm="1">
        <f t="array" ref="F555">_xlfn.IFS(B555="Owner Surrender",E555,B555="Stray",E555+6,B555="Stray w/identification",E555+11,B555="Bite",E555+10,B555="Other",Blank)</f>
        <v>45811</v>
      </c>
      <c r="G555" s="2">
        <v>45807</v>
      </c>
      <c r="H555" s="6">
        <f t="shared" si="23"/>
        <v>2</v>
      </c>
      <c r="I555" s="6">
        <f t="shared" si="22"/>
        <v>-4</v>
      </c>
      <c r="J555" s="2" t="s">
        <v>31</v>
      </c>
      <c r="L555" t="s">
        <v>399</v>
      </c>
    </row>
    <row r="556" spans="1:12" x14ac:dyDescent="0.25">
      <c r="A556" s="1">
        <v>40706</v>
      </c>
      <c r="B556" s="2" t="s">
        <v>38</v>
      </c>
      <c r="C556" t="s">
        <v>7</v>
      </c>
      <c r="D556" t="s">
        <v>209</v>
      </c>
      <c r="E556" s="2">
        <v>45805</v>
      </c>
      <c r="F556" s="2" cm="1">
        <f t="array" ref="F556">_xlfn.IFS(B556="Owner Surrender",E556,B556="Stray",E556+6,B556="Stray w/identification",E556+11,B556="Bite",E556+10,B556="Other",Blank)</f>
        <v>45811</v>
      </c>
      <c r="G556" s="2">
        <v>45812</v>
      </c>
      <c r="H556" s="6">
        <f t="shared" si="23"/>
        <v>7</v>
      </c>
      <c r="I556" s="6">
        <f t="shared" si="22"/>
        <v>1</v>
      </c>
      <c r="J556" s="2" t="s">
        <v>31</v>
      </c>
    </row>
    <row r="557" spans="1:12" x14ac:dyDescent="0.25">
      <c r="A557" s="1">
        <v>40707</v>
      </c>
      <c r="B557" s="2" t="s">
        <v>38</v>
      </c>
      <c r="C557" t="s">
        <v>7</v>
      </c>
      <c r="D557" t="s">
        <v>209</v>
      </c>
      <c r="E557" s="2">
        <v>45805</v>
      </c>
      <c r="F557" s="2" cm="1">
        <f t="array" ref="F557">_xlfn.IFS(B557="Owner Surrender",E557,B557="Stray",E557+6,B557="Stray w/identification",E557+11,B557="Bite",E557+10,B557="Other",Blank)</f>
        <v>45811</v>
      </c>
      <c r="G557" s="2">
        <v>45812</v>
      </c>
      <c r="H557" s="6">
        <f t="shared" si="23"/>
        <v>7</v>
      </c>
      <c r="I557" s="6">
        <f t="shared" si="22"/>
        <v>1</v>
      </c>
      <c r="J557" s="2" t="s">
        <v>31</v>
      </c>
    </row>
    <row r="558" spans="1:12" x14ac:dyDescent="0.25">
      <c r="A558" s="1">
        <v>40708</v>
      </c>
      <c r="B558" s="2" t="s">
        <v>38</v>
      </c>
      <c r="C558" t="s">
        <v>7</v>
      </c>
      <c r="D558" t="s">
        <v>209</v>
      </c>
      <c r="E558" s="2">
        <v>45805</v>
      </c>
      <c r="F558" s="2" cm="1">
        <f t="array" ref="F558">_xlfn.IFS(B558="Owner Surrender",E558,B558="Stray",E558+6,B558="Stray w/identification",E558+11,B558="Bite",E558+10,B558="Other",Blank)</f>
        <v>45811</v>
      </c>
      <c r="G558" s="2">
        <v>45812</v>
      </c>
      <c r="H558" s="6">
        <f t="shared" si="23"/>
        <v>7</v>
      </c>
      <c r="I558" s="6">
        <f t="shared" si="22"/>
        <v>1</v>
      </c>
      <c r="J558" s="2" t="s">
        <v>31</v>
      </c>
    </row>
    <row r="559" spans="1:12" x14ac:dyDescent="0.25">
      <c r="A559" s="1">
        <v>40710</v>
      </c>
      <c r="B559" s="2" t="s">
        <v>36</v>
      </c>
      <c r="C559" t="s">
        <v>7</v>
      </c>
      <c r="D559" t="s">
        <v>208</v>
      </c>
      <c r="E559" s="2">
        <v>45805</v>
      </c>
      <c r="F559" s="2" cm="1">
        <f t="array" ref="F559">_xlfn.IFS(B559="Owner Surrender",E559,B559="Stray",E559+6,B559="Stray w/identification",E559+11,B559="Bite",E559+10,B559="Other",Blank)</f>
        <v>45805</v>
      </c>
      <c r="G559" s="2">
        <v>45807</v>
      </c>
      <c r="H559" s="6">
        <f t="shared" si="23"/>
        <v>2</v>
      </c>
      <c r="I559" s="6">
        <f t="shared" si="22"/>
        <v>2</v>
      </c>
      <c r="J559" s="2" t="s">
        <v>31</v>
      </c>
    </row>
    <row r="560" spans="1:12" x14ac:dyDescent="0.25">
      <c r="A560" s="1">
        <v>40711</v>
      </c>
      <c r="B560" s="2" t="s">
        <v>36</v>
      </c>
      <c r="C560" t="s">
        <v>7</v>
      </c>
      <c r="D560" t="s">
        <v>209</v>
      </c>
      <c r="E560" s="2">
        <v>45805</v>
      </c>
      <c r="F560" s="2" cm="1">
        <f t="array" ref="F560">_xlfn.IFS(B560="Owner Surrender",E560,B560="Stray",E560+6,B560="Stray w/identification",E560+11,B560="Bite",E560+10,B560="Other",Blank)</f>
        <v>45805</v>
      </c>
      <c r="G560" s="2">
        <v>45807</v>
      </c>
      <c r="H560" s="6">
        <f t="shared" si="23"/>
        <v>2</v>
      </c>
      <c r="I560" s="6">
        <f t="shared" si="22"/>
        <v>2</v>
      </c>
      <c r="J560" s="2" t="s">
        <v>31</v>
      </c>
    </row>
    <row r="561" spans="1:12" x14ac:dyDescent="0.25">
      <c r="A561" s="1">
        <v>40712</v>
      </c>
      <c r="B561" s="2" t="s">
        <v>36</v>
      </c>
      <c r="C561" t="s">
        <v>7</v>
      </c>
      <c r="D561" t="s">
        <v>209</v>
      </c>
      <c r="E561" s="2">
        <v>45805</v>
      </c>
      <c r="F561" s="2" cm="1">
        <f t="array" ref="F561">_xlfn.IFS(B561="Owner Surrender",E561,B561="Stray",E561+6,B561="Stray w/identification",E561+11,B561="Bite",E561+10,B561="Other",Blank)</f>
        <v>45805</v>
      </c>
      <c r="G561" s="2">
        <v>45807</v>
      </c>
      <c r="H561" s="6">
        <f t="shared" si="23"/>
        <v>2</v>
      </c>
      <c r="I561" s="6">
        <f t="shared" si="22"/>
        <v>2</v>
      </c>
      <c r="J561" s="2" t="s">
        <v>31</v>
      </c>
    </row>
    <row r="562" spans="1:12" x14ac:dyDescent="0.25">
      <c r="A562" s="1">
        <v>40713</v>
      </c>
      <c r="B562" s="2" t="s">
        <v>36</v>
      </c>
      <c r="C562" t="s">
        <v>7</v>
      </c>
      <c r="D562" t="s">
        <v>209</v>
      </c>
      <c r="E562" s="2">
        <v>45805</v>
      </c>
      <c r="F562" s="2" cm="1">
        <f t="array" ref="F562">_xlfn.IFS(B562="Owner Surrender",E562,B562="Stray",E562+6,B562="Stray w/identification",E562+11,B562="Bite",E562+10,B562="Other",Blank)</f>
        <v>45805</v>
      </c>
      <c r="G562" s="2">
        <v>45807</v>
      </c>
      <c r="H562" s="6">
        <f t="shared" si="23"/>
        <v>2</v>
      </c>
      <c r="I562" s="6">
        <f t="shared" si="22"/>
        <v>2</v>
      </c>
      <c r="J562" s="2" t="s">
        <v>31</v>
      </c>
    </row>
    <row r="563" spans="1:12" x14ac:dyDescent="0.25">
      <c r="A563" s="1">
        <v>40715</v>
      </c>
      <c r="B563" s="2" t="s">
        <v>38</v>
      </c>
      <c r="C563" t="s">
        <v>7</v>
      </c>
      <c r="D563" t="s">
        <v>209</v>
      </c>
      <c r="E563" s="2">
        <v>45805</v>
      </c>
      <c r="F563" s="2" cm="1">
        <f t="array" ref="F563">_xlfn.IFS(B563="Owner Surrender",E563,B563="Stray",E563+6,B563="Stray w/identification",E563+11,B563="Bite",E563+10,B563="Other",Blank)</f>
        <v>45811</v>
      </c>
      <c r="G563" s="2">
        <v>45807</v>
      </c>
      <c r="H563" s="6">
        <f t="shared" si="23"/>
        <v>2</v>
      </c>
      <c r="I563" s="6">
        <f t="shared" si="22"/>
        <v>-4</v>
      </c>
      <c r="J563" s="2" t="s">
        <v>31</v>
      </c>
      <c r="L563" t="s">
        <v>399</v>
      </c>
    </row>
    <row r="564" spans="1:12" x14ac:dyDescent="0.25">
      <c r="A564" s="1">
        <v>40716</v>
      </c>
      <c r="B564" s="2" t="s">
        <v>38</v>
      </c>
      <c r="C564" t="s">
        <v>7</v>
      </c>
      <c r="D564" t="s">
        <v>208</v>
      </c>
      <c r="E564" s="2">
        <v>45805</v>
      </c>
      <c r="F564" s="2" cm="1">
        <f t="array" ref="F564">_xlfn.IFS(B564="Owner Surrender",E564,B564="Stray",E564+6,B564="Stray w/identification",E564+11,B564="Bite",E564+10,B564="Other",Blank)</f>
        <v>45811</v>
      </c>
      <c r="G564" s="2">
        <v>45812</v>
      </c>
      <c r="H564" s="6">
        <f t="shared" si="23"/>
        <v>7</v>
      </c>
      <c r="I564" s="6">
        <f t="shared" si="22"/>
        <v>1</v>
      </c>
      <c r="J564" s="2" t="s">
        <v>31</v>
      </c>
      <c r="L564" t="s">
        <v>402</v>
      </c>
    </row>
    <row r="565" spans="1:12" x14ac:dyDescent="0.25">
      <c r="A565" s="1">
        <v>40718</v>
      </c>
      <c r="B565" s="2" t="s">
        <v>38</v>
      </c>
      <c r="C565" t="s">
        <v>10</v>
      </c>
      <c r="D565" t="s">
        <v>208</v>
      </c>
      <c r="E565" s="2">
        <v>45806</v>
      </c>
      <c r="F565" s="2" cm="1">
        <f t="array" ref="F565">_xlfn.IFS(B565="Owner Surrender",E565,B565="Stray",E565+6,B565="Stray w/identification",E565+11,B565="Bite",E565+10,B565="Other",Blank)</f>
        <v>45812</v>
      </c>
      <c r="G565" s="2">
        <v>45814</v>
      </c>
      <c r="H565" s="6">
        <f t="shared" si="23"/>
        <v>8</v>
      </c>
      <c r="I565" s="6">
        <f t="shared" si="22"/>
        <v>2</v>
      </c>
      <c r="J565" s="2" t="s">
        <v>31</v>
      </c>
    </row>
    <row r="566" spans="1:12" x14ac:dyDescent="0.25">
      <c r="A566" s="1">
        <v>40721</v>
      </c>
      <c r="B566" s="2" t="s">
        <v>38</v>
      </c>
      <c r="C566" t="s">
        <v>10</v>
      </c>
      <c r="D566" t="s">
        <v>208</v>
      </c>
      <c r="E566" s="2">
        <v>45806</v>
      </c>
      <c r="F566" s="2" cm="1">
        <f t="array" ref="F566">_xlfn.IFS(B566="Owner Surrender",E566,B566="Stray",E566+6,B566="Stray w/identification",E566+11,B566="Bite",E566+10,B566="Other",Blank)</f>
        <v>45812</v>
      </c>
      <c r="G566" s="2">
        <v>45814</v>
      </c>
      <c r="H566" s="6">
        <f t="shared" si="23"/>
        <v>8</v>
      </c>
      <c r="I566" s="6">
        <f t="shared" si="22"/>
        <v>2</v>
      </c>
      <c r="J566" s="2" t="s">
        <v>31</v>
      </c>
    </row>
    <row r="567" spans="1:12" x14ac:dyDescent="0.25">
      <c r="A567" s="1">
        <v>40722</v>
      </c>
      <c r="B567" s="2" t="s">
        <v>38</v>
      </c>
      <c r="C567" t="s">
        <v>7</v>
      </c>
      <c r="D567" t="s">
        <v>209</v>
      </c>
      <c r="E567" s="2">
        <v>45806</v>
      </c>
      <c r="F567" s="2" cm="1">
        <f t="array" ref="F567">_xlfn.IFS(B567="Owner Surrender",E567,B567="Stray",E567+6,B567="Stray w/identification",E567+11,B567="Bite",E567+10,B567="Other",Blank)</f>
        <v>45812</v>
      </c>
      <c r="G567" s="2">
        <v>45817</v>
      </c>
      <c r="H567" s="6">
        <f t="shared" si="23"/>
        <v>11</v>
      </c>
      <c r="I567" s="6">
        <f t="shared" si="22"/>
        <v>5</v>
      </c>
      <c r="J567" s="2" t="s">
        <v>31</v>
      </c>
    </row>
    <row r="568" spans="1:12" x14ac:dyDescent="0.25">
      <c r="A568" s="1">
        <v>40723</v>
      </c>
      <c r="B568" s="2" t="s">
        <v>38</v>
      </c>
      <c r="C568" t="s">
        <v>10</v>
      </c>
      <c r="D568" t="s">
        <v>209</v>
      </c>
      <c r="E568" s="2">
        <v>45806</v>
      </c>
      <c r="F568" s="2" cm="1">
        <f t="array" ref="F568">_xlfn.IFS(B568="Owner Surrender",E568,B568="Stray",E568+6,B568="Stray w/identification",E568+11,B568="Bite",E568+10,B568="Other",Blank)</f>
        <v>45812</v>
      </c>
      <c r="G568" s="2">
        <v>45817</v>
      </c>
      <c r="H568" s="6">
        <f t="shared" si="23"/>
        <v>11</v>
      </c>
      <c r="I568" s="6">
        <f t="shared" si="22"/>
        <v>5</v>
      </c>
      <c r="J568" s="2" t="s">
        <v>31</v>
      </c>
    </row>
    <row r="569" spans="1:12" x14ac:dyDescent="0.25">
      <c r="A569" s="1">
        <v>40724</v>
      </c>
      <c r="B569" s="2" t="s">
        <v>38</v>
      </c>
      <c r="C569" t="s">
        <v>10</v>
      </c>
      <c r="D569" t="s">
        <v>209</v>
      </c>
      <c r="E569" s="2">
        <v>45806</v>
      </c>
      <c r="F569" s="2" cm="1">
        <f t="array" ref="F569">_xlfn.IFS(B569="Owner Surrender",E569,B569="Stray",E569+6,B569="Stray w/identification",E569+11,B569="Bite",E569+10,B569="Other",Blank)</f>
        <v>45812</v>
      </c>
      <c r="G569" s="2">
        <v>45817</v>
      </c>
      <c r="H569" s="6">
        <f t="shared" si="23"/>
        <v>11</v>
      </c>
      <c r="I569" s="6">
        <f t="shared" si="22"/>
        <v>5</v>
      </c>
      <c r="J569" s="2" t="s">
        <v>31</v>
      </c>
    </row>
    <row r="570" spans="1:12" x14ac:dyDescent="0.25">
      <c r="A570" s="1">
        <v>40727</v>
      </c>
      <c r="B570" s="2" t="s">
        <v>38</v>
      </c>
      <c r="C570" t="s">
        <v>10</v>
      </c>
      <c r="D570" t="s">
        <v>209</v>
      </c>
      <c r="E570" s="2">
        <v>45806</v>
      </c>
      <c r="F570" s="2" cm="1">
        <f t="array" ref="F570">_xlfn.IFS(B570="Owner Surrender",E570,B570="Stray",E570+6,B570="Stray w/identification",E570+11,B570="Bite",E570+10,B570="Other",Blank)</f>
        <v>45812</v>
      </c>
      <c r="G570" s="2">
        <v>45817</v>
      </c>
      <c r="H570" s="6">
        <f t="shared" si="23"/>
        <v>11</v>
      </c>
      <c r="I570" s="6">
        <f t="shared" si="22"/>
        <v>5</v>
      </c>
      <c r="J570" s="2" t="s">
        <v>31</v>
      </c>
    </row>
    <row r="571" spans="1:12" x14ac:dyDescent="0.25">
      <c r="A571" s="1">
        <v>40728</v>
      </c>
      <c r="B571" s="2" t="s">
        <v>38</v>
      </c>
      <c r="C571" t="s">
        <v>10</v>
      </c>
      <c r="D571" t="s">
        <v>209</v>
      </c>
      <c r="E571" s="2">
        <v>45806</v>
      </c>
      <c r="F571" s="2" cm="1">
        <f t="array" ref="F571">_xlfn.IFS(B571="Owner Surrender",E571,B571="Stray",E571+6,B571="Stray w/identification",E571+11,B571="Bite",E571+10,B571="Other",Blank)</f>
        <v>45812</v>
      </c>
      <c r="G571" s="2">
        <v>45817</v>
      </c>
      <c r="H571" s="6">
        <f t="shared" si="23"/>
        <v>11</v>
      </c>
      <c r="I571" s="6">
        <f t="shared" si="22"/>
        <v>5</v>
      </c>
      <c r="J571" s="2" t="s">
        <v>31</v>
      </c>
    </row>
    <row r="572" spans="1:12" x14ac:dyDescent="0.25">
      <c r="A572" s="1">
        <v>40729</v>
      </c>
      <c r="B572" s="2" t="s">
        <v>38</v>
      </c>
      <c r="C572" t="s">
        <v>10</v>
      </c>
      <c r="D572" t="s">
        <v>209</v>
      </c>
      <c r="E572" s="2">
        <v>45806</v>
      </c>
      <c r="F572" s="2" cm="1">
        <f t="array" ref="F572">_xlfn.IFS(B572="Owner Surrender",E572,B572="Stray",E572+6,B572="Stray w/identification",E572+11,B572="Bite",E572+10,B572="Other",Blank)</f>
        <v>45812</v>
      </c>
      <c r="G572" s="2">
        <v>45817</v>
      </c>
      <c r="H572" s="6">
        <f t="shared" si="23"/>
        <v>11</v>
      </c>
      <c r="I572" s="6">
        <f t="shared" si="22"/>
        <v>5</v>
      </c>
      <c r="J572" s="2" t="s">
        <v>31</v>
      </c>
    </row>
    <row r="573" spans="1:12" x14ac:dyDescent="0.25">
      <c r="A573" s="1">
        <v>40734</v>
      </c>
      <c r="B573" s="2" t="s">
        <v>38</v>
      </c>
      <c r="C573" t="s">
        <v>7</v>
      </c>
      <c r="D573" t="s">
        <v>208</v>
      </c>
      <c r="E573" s="2">
        <v>45806</v>
      </c>
      <c r="F573" s="2" cm="1">
        <f t="array" ref="F573">_xlfn.IFS(B573="Owner Surrender",E573,B573="Stray",E573+6,B573="Stray w/identification",E573+11,B573="Bite",E573+10,B573="Other",Blank)</f>
        <v>45812</v>
      </c>
      <c r="G573" s="2">
        <v>45806</v>
      </c>
      <c r="H573" s="6">
        <f t="shared" si="23"/>
        <v>0</v>
      </c>
      <c r="I573" s="6">
        <f t="shared" si="22"/>
        <v>-6</v>
      </c>
      <c r="J573" s="2" t="s">
        <v>31</v>
      </c>
      <c r="L573" t="s">
        <v>398</v>
      </c>
    </row>
    <row r="574" spans="1:12" x14ac:dyDescent="0.25">
      <c r="A574" s="1">
        <v>40735</v>
      </c>
      <c r="B574" s="2" t="s">
        <v>38</v>
      </c>
      <c r="C574" t="s">
        <v>7</v>
      </c>
      <c r="D574" t="s">
        <v>209</v>
      </c>
      <c r="E574" s="2">
        <v>45807</v>
      </c>
      <c r="F574" s="2" cm="1">
        <f t="array" ref="F574">_xlfn.IFS(B574="Owner Surrender",E574,B574="Stray",E574+6,B574="Stray w/identification",E574+11,B574="Bite",E574+10,B574="Other",Blank)</f>
        <v>45813</v>
      </c>
      <c r="G574" s="2">
        <v>45810</v>
      </c>
      <c r="H574" s="6">
        <f t="shared" si="23"/>
        <v>3</v>
      </c>
      <c r="I574" s="6">
        <f t="shared" si="22"/>
        <v>-3</v>
      </c>
      <c r="J574" s="2" t="s">
        <v>31</v>
      </c>
      <c r="L574" t="s">
        <v>401</v>
      </c>
    </row>
    <row r="575" spans="1:12" x14ac:dyDescent="0.25">
      <c r="A575" s="1">
        <v>40736</v>
      </c>
      <c r="B575" s="2" t="s">
        <v>38</v>
      </c>
      <c r="C575" t="s">
        <v>7</v>
      </c>
      <c r="D575" t="s">
        <v>209</v>
      </c>
      <c r="E575" s="2">
        <v>45807</v>
      </c>
      <c r="F575" s="2" cm="1">
        <f t="array" ref="F575">_xlfn.IFS(B575="Owner Surrender",E575,B575="Stray",E575+6,B575="Stray w/identification",E575+11,B575="Bite",E575+10,B575="Other",Blank)</f>
        <v>45813</v>
      </c>
      <c r="G575" s="2">
        <v>45810</v>
      </c>
      <c r="H575" s="6">
        <f t="shared" si="23"/>
        <v>3</v>
      </c>
      <c r="I575" s="6">
        <f t="shared" si="22"/>
        <v>-3</v>
      </c>
      <c r="J575" s="2" t="s">
        <v>31</v>
      </c>
      <c r="L575" t="s">
        <v>401</v>
      </c>
    </row>
    <row r="576" spans="1:12" x14ac:dyDescent="0.25">
      <c r="A576" s="1">
        <v>40737</v>
      </c>
      <c r="B576" s="2" t="s">
        <v>38</v>
      </c>
      <c r="C576" t="s">
        <v>7</v>
      </c>
      <c r="D576" t="s">
        <v>209</v>
      </c>
      <c r="E576" s="2">
        <v>45807</v>
      </c>
      <c r="F576" s="2" cm="1">
        <f t="array" ref="F576">_xlfn.IFS(B576="Owner Surrender",E576,B576="Stray",E576+6,B576="Stray w/identification",E576+11,B576="Bite",E576+10,B576="Other",Blank)</f>
        <v>45813</v>
      </c>
      <c r="G576" s="2">
        <v>45810</v>
      </c>
      <c r="H576" s="6">
        <f t="shared" si="23"/>
        <v>3</v>
      </c>
      <c r="I576" s="6">
        <f t="shared" si="22"/>
        <v>-3</v>
      </c>
      <c r="J576" s="2" t="s">
        <v>31</v>
      </c>
      <c r="L576" t="s">
        <v>401</v>
      </c>
    </row>
    <row r="577" spans="1:12" x14ac:dyDescent="0.25">
      <c r="A577" s="1">
        <v>40738</v>
      </c>
      <c r="B577" s="2" t="s">
        <v>38</v>
      </c>
      <c r="C577" t="s">
        <v>7</v>
      </c>
      <c r="D577" t="s">
        <v>209</v>
      </c>
      <c r="E577" s="2">
        <v>45807</v>
      </c>
      <c r="F577" s="2" cm="1">
        <f t="array" ref="F577">_xlfn.IFS(B577="Owner Surrender",E577,B577="Stray",E577+6,B577="Stray w/identification",E577+11,B577="Bite",E577+10,B577="Other",Blank)</f>
        <v>45813</v>
      </c>
      <c r="G577" s="2">
        <v>45810</v>
      </c>
      <c r="H577" s="6">
        <f t="shared" si="23"/>
        <v>3</v>
      </c>
      <c r="I577" s="6">
        <f t="shared" si="22"/>
        <v>-3</v>
      </c>
      <c r="J577" s="2" t="s">
        <v>31</v>
      </c>
      <c r="L577" t="s">
        <v>401</v>
      </c>
    </row>
    <row r="578" spans="1:12" x14ac:dyDescent="0.25">
      <c r="A578" s="1">
        <v>40739</v>
      </c>
      <c r="B578" s="2" t="s">
        <v>38</v>
      </c>
      <c r="C578" t="s">
        <v>7</v>
      </c>
      <c r="D578" t="s">
        <v>209</v>
      </c>
      <c r="E578" s="2">
        <v>45807</v>
      </c>
      <c r="F578" s="2" cm="1">
        <f t="array" ref="F578">_xlfn.IFS(B578="Owner Surrender",E578,B578="Stray",E578+6,B578="Stray w/identification",E578+11,B578="Bite",E578+10,B578="Other",Blank)</f>
        <v>45813</v>
      </c>
      <c r="G578" s="2">
        <v>45814</v>
      </c>
      <c r="H578" s="6">
        <f t="shared" si="23"/>
        <v>7</v>
      </c>
      <c r="I578" s="6">
        <f t="shared" si="22"/>
        <v>1</v>
      </c>
      <c r="J578" s="2" t="s">
        <v>31</v>
      </c>
    </row>
    <row r="579" spans="1:12" x14ac:dyDescent="0.25">
      <c r="A579" s="1">
        <v>40740</v>
      </c>
      <c r="B579" s="2" t="s">
        <v>38</v>
      </c>
      <c r="C579" t="s">
        <v>7</v>
      </c>
      <c r="D579" t="s">
        <v>209</v>
      </c>
      <c r="E579" s="2">
        <v>45807</v>
      </c>
      <c r="F579" s="2" cm="1">
        <f t="array" ref="F579">_xlfn.IFS(B579="Owner Surrender",E579,B579="Stray",E579+6,B579="Stray w/identification",E579+11,B579="Bite",E579+10,B579="Other",Blank)</f>
        <v>45813</v>
      </c>
      <c r="G579" s="2">
        <v>45814</v>
      </c>
      <c r="H579" s="6">
        <f t="shared" si="23"/>
        <v>7</v>
      </c>
      <c r="I579" s="6">
        <f t="shared" si="22"/>
        <v>1</v>
      </c>
      <c r="J579" s="2" t="s">
        <v>31</v>
      </c>
    </row>
    <row r="580" spans="1:12" x14ac:dyDescent="0.25">
      <c r="A580" s="1">
        <v>40741</v>
      </c>
      <c r="B580" s="2" t="s">
        <v>38</v>
      </c>
      <c r="C580" t="s">
        <v>7</v>
      </c>
      <c r="D580" t="s">
        <v>209</v>
      </c>
      <c r="E580" s="2">
        <v>45807</v>
      </c>
      <c r="F580" s="2" cm="1">
        <f t="array" ref="F580">_xlfn.IFS(B580="Owner Surrender",E580,B580="Stray",E580+6,B580="Stray w/identification",E580+11,B580="Bite",E580+10,B580="Other",Blank)</f>
        <v>45813</v>
      </c>
      <c r="G580" s="2">
        <v>45814</v>
      </c>
      <c r="H580" s="6">
        <f t="shared" si="23"/>
        <v>7</v>
      </c>
      <c r="I580" s="6">
        <f t="shared" si="22"/>
        <v>1</v>
      </c>
      <c r="J580" s="2" t="s">
        <v>31</v>
      </c>
    </row>
    <row r="581" spans="1:12" x14ac:dyDescent="0.25">
      <c r="A581" s="1">
        <v>40742</v>
      </c>
      <c r="B581" s="2" t="s">
        <v>38</v>
      </c>
      <c r="C581" t="s">
        <v>7</v>
      </c>
      <c r="D581" t="s">
        <v>209</v>
      </c>
      <c r="E581" s="2">
        <v>45807</v>
      </c>
      <c r="F581" s="2" cm="1">
        <f t="array" ref="F581">_xlfn.IFS(B581="Owner Surrender",E581,B581="Stray",E581+6,B581="Stray w/identification",E581+11,B581="Bite",E581+10,B581="Other",Blank)</f>
        <v>45813</v>
      </c>
      <c r="G581" s="2">
        <v>45814</v>
      </c>
      <c r="H581" s="6">
        <f t="shared" si="23"/>
        <v>7</v>
      </c>
      <c r="I581" s="6">
        <f t="shared" si="22"/>
        <v>1</v>
      </c>
      <c r="J581" s="2" t="s">
        <v>31</v>
      </c>
    </row>
    <row r="582" spans="1:12" x14ac:dyDescent="0.25">
      <c r="A582" s="1">
        <v>40743</v>
      </c>
      <c r="B582" s="2" t="s">
        <v>38</v>
      </c>
      <c r="C582" t="s">
        <v>7</v>
      </c>
      <c r="D582" t="s">
        <v>209</v>
      </c>
      <c r="E582" s="2">
        <v>45807</v>
      </c>
      <c r="F582" s="2" cm="1">
        <f t="array" ref="F582">_xlfn.IFS(B582="Owner Surrender",E582,B582="Stray",E582+6,B582="Stray w/identification",E582+11,B582="Bite",E582+10,B582="Other",Blank)</f>
        <v>45813</v>
      </c>
      <c r="G582" s="2">
        <v>45814</v>
      </c>
      <c r="H582" s="6">
        <f t="shared" si="23"/>
        <v>7</v>
      </c>
      <c r="I582" s="6">
        <f t="shared" si="22"/>
        <v>1</v>
      </c>
      <c r="J582" s="2" t="s">
        <v>31</v>
      </c>
    </row>
    <row r="583" spans="1:12" x14ac:dyDescent="0.25">
      <c r="A583" s="1">
        <v>40744</v>
      </c>
      <c r="B583" s="2" t="s">
        <v>38</v>
      </c>
      <c r="C583" t="s">
        <v>7</v>
      </c>
      <c r="D583" t="s">
        <v>209</v>
      </c>
      <c r="E583" s="2">
        <v>45807</v>
      </c>
      <c r="F583" s="2" cm="1">
        <f t="array" ref="F583">_xlfn.IFS(B583="Owner Surrender",E583,B583="Stray",E583+6,B583="Stray w/identification",E583+11,B583="Bite",E583+10,B583="Other",Blank)</f>
        <v>45813</v>
      </c>
      <c r="G583" s="2">
        <v>45814</v>
      </c>
      <c r="H583" s="6">
        <f t="shared" si="23"/>
        <v>7</v>
      </c>
      <c r="I583" s="6">
        <f t="shared" si="22"/>
        <v>1</v>
      </c>
      <c r="J583" s="2" t="s">
        <v>31</v>
      </c>
    </row>
    <row r="584" spans="1:12" x14ac:dyDescent="0.25">
      <c r="A584" s="1">
        <v>40745</v>
      </c>
      <c r="B584" s="2" t="s">
        <v>38</v>
      </c>
      <c r="C584" t="s">
        <v>7</v>
      </c>
      <c r="D584" t="s">
        <v>209</v>
      </c>
      <c r="E584" s="2">
        <v>45807</v>
      </c>
      <c r="F584" s="2" cm="1">
        <f t="array" ref="F584">_xlfn.IFS(B584="Owner Surrender",E584,B584="Stray",E584+6,B584="Stray w/identification",E584+11,B584="Bite",E584+10,B584="Other",Blank)</f>
        <v>45813</v>
      </c>
      <c r="G584" s="2">
        <v>45814</v>
      </c>
      <c r="H584" s="6">
        <f t="shared" si="23"/>
        <v>7</v>
      </c>
      <c r="I584" s="6">
        <f t="shared" si="22"/>
        <v>1</v>
      </c>
      <c r="J584" s="2" t="s">
        <v>31</v>
      </c>
    </row>
    <row r="585" spans="1:12" x14ac:dyDescent="0.25">
      <c r="A585" s="1">
        <v>40746</v>
      </c>
      <c r="B585" s="2" t="s">
        <v>38</v>
      </c>
      <c r="C585" t="s">
        <v>7</v>
      </c>
      <c r="D585" t="s">
        <v>208</v>
      </c>
      <c r="E585" s="2">
        <v>45807</v>
      </c>
      <c r="F585" s="2" cm="1">
        <f t="array" ref="F585">_xlfn.IFS(B585="Owner Surrender",E585,B585="Stray",E585+6,B585="Stray w/identification",E585+11,B585="Bite",E585+10,B585="Other",Blank)</f>
        <v>45813</v>
      </c>
      <c r="G585" s="2">
        <v>45814</v>
      </c>
      <c r="H585" s="6">
        <f t="shared" si="23"/>
        <v>7</v>
      </c>
      <c r="I585" s="6">
        <f t="shared" si="22"/>
        <v>1</v>
      </c>
      <c r="J585" s="2" t="s">
        <v>31</v>
      </c>
    </row>
    <row r="586" spans="1:12" x14ac:dyDescent="0.25">
      <c r="A586" s="1">
        <v>40747</v>
      </c>
      <c r="B586" s="2" t="s">
        <v>38</v>
      </c>
      <c r="C586" t="s">
        <v>10</v>
      </c>
      <c r="D586" t="s">
        <v>208</v>
      </c>
      <c r="E586" s="2">
        <v>45807</v>
      </c>
      <c r="F586" s="2" cm="1">
        <f t="array" ref="F586">_xlfn.IFS(B586="Owner Surrender",E586,B586="Stray",E586+6,B586="Stray w/identification",E586+11,B586="Bite",E586+10,B586="Other",Blank)</f>
        <v>45813</v>
      </c>
      <c r="G586" s="2">
        <v>45814</v>
      </c>
      <c r="H586" s="6">
        <f t="shared" si="23"/>
        <v>7</v>
      </c>
      <c r="I586" s="6">
        <f t="shared" si="22"/>
        <v>1</v>
      </c>
      <c r="J586" s="2" t="s">
        <v>31</v>
      </c>
    </row>
    <row r="587" spans="1:12" x14ac:dyDescent="0.25">
      <c r="A587" s="1">
        <v>40748</v>
      </c>
      <c r="B587" s="2" t="s">
        <v>36</v>
      </c>
      <c r="C587" t="s">
        <v>7</v>
      </c>
      <c r="D587" t="s">
        <v>210</v>
      </c>
      <c r="E587" s="2">
        <v>45807</v>
      </c>
      <c r="F587" s="2" cm="1">
        <f t="array" ref="F587">_xlfn.IFS(B587="Owner Surrender",E587,B587="Stray",E587+6,B587="Stray w/identification",E587+11,B587="Bite",E587+10,B587="Other",Blank)</f>
        <v>45807</v>
      </c>
      <c r="G587" s="2">
        <v>45810</v>
      </c>
      <c r="H587" s="6">
        <f t="shared" si="23"/>
        <v>3</v>
      </c>
      <c r="I587" s="6">
        <f t="shared" si="22"/>
        <v>3</v>
      </c>
      <c r="J587" s="2" t="s">
        <v>11</v>
      </c>
      <c r="K587" t="s">
        <v>411</v>
      </c>
    </row>
    <row r="588" spans="1:12" x14ac:dyDescent="0.25">
      <c r="A588" s="1">
        <v>40749</v>
      </c>
      <c r="B588" s="2" t="s">
        <v>38</v>
      </c>
      <c r="C588" t="s">
        <v>15</v>
      </c>
      <c r="D588" t="s">
        <v>208</v>
      </c>
      <c r="E588" s="2">
        <v>45808</v>
      </c>
      <c r="F588" s="2" cm="1">
        <f t="array" ref="F588">_xlfn.IFS(B588="Owner Surrender",E588,B588="Stray",E588+6,B588="Stray w/identification",E588+11,B588="Bite",E588+10,B588="Other",Blank)</f>
        <v>45814</v>
      </c>
      <c r="G588" s="2">
        <v>45817</v>
      </c>
      <c r="H588" s="6">
        <f t="shared" si="23"/>
        <v>9</v>
      </c>
      <c r="I588" s="6">
        <f t="shared" si="22"/>
        <v>3</v>
      </c>
      <c r="J588" s="2" t="s">
        <v>11</v>
      </c>
      <c r="K588" t="s">
        <v>410</v>
      </c>
    </row>
    <row r="589" spans="1:12" x14ac:dyDescent="0.25">
      <c r="A589" s="1">
        <v>40752</v>
      </c>
      <c r="B589" s="2" t="s">
        <v>38</v>
      </c>
      <c r="C589" t="s">
        <v>7</v>
      </c>
      <c r="D589" t="s">
        <v>209</v>
      </c>
      <c r="E589" s="2">
        <v>45808</v>
      </c>
      <c r="F589" s="2" cm="1">
        <f t="array" ref="F589">_xlfn.IFS(B589="Owner Surrender",E589,B589="Stray",E589+6,B589="Stray w/identification",E589+11,B589="Bite",E589+10,B589="Other",Blank)</f>
        <v>45814</v>
      </c>
      <c r="G589" s="2">
        <v>45817</v>
      </c>
      <c r="H589" s="6">
        <f t="shared" si="23"/>
        <v>9</v>
      </c>
      <c r="I589" s="6">
        <f t="shared" si="22"/>
        <v>3</v>
      </c>
      <c r="J589" s="2" t="s">
        <v>31</v>
      </c>
    </row>
    <row r="590" spans="1:12" x14ac:dyDescent="0.25">
      <c r="A590" s="1">
        <v>40753</v>
      </c>
      <c r="B590" s="2" t="s">
        <v>38</v>
      </c>
      <c r="C590" t="s">
        <v>7</v>
      </c>
      <c r="D590" t="s">
        <v>209</v>
      </c>
      <c r="E590" s="2">
        <v>45808</v>
      </c>
      <c r="F590" s="2" cm="1">
        <f t="array" ref="F590">_xlfn.IFS(B590="Owner Surrender",E590,B590="Stray",E590+6,B590="Stray w/identification",E590+11,B590="Bite",E590+10,B590="Other",Blank)</f>
        <v>45814</v>
      </c>
      <c r="G590" s="2">
        <v>45817</v>
      </c>
      <c r="H590" s="6">
        <f t="shared" si="23"/>
        <v>9</v>
      </c>
      <c r="I590" s="6">
        <f t="shared" si="22"/>
        <v>3</v>
      </c>
      <c r="J590" s="2" t="s">
        <v>31</v>
      </c>
    </row>
    <row r="591" spans="1:12" x14ac:dyDescent="0.25">
      <c r="A591" s="1">
        <v>40754</v>
      </c>
      <c r="B591" s="2" t="s">
        <v>38</v>
      </c>
      <c r="C591" t="s">
        <v>7</v>
      </c>
      <c r="D591" t="s">
        <v>209</v>
      </c>
      <c r="E591" s="2">
        <v>45808</v>
      </c>
      <c r="F591" s="2" cm="1">
        <f t="array" ref="F591">_xlfn.IFS(B591="Owner Surrender",E591,B591="Stray",E591+6,B591="Stray w/identification",E591+11,B591="Bite",E591+10,B591="Other",Blank)</f>
        <v>45814</v>
      </c>
      <c r="G591" s="2">
        <v>45817</v>
      </c>
      <c r="H591" s="6">
        <f t="shared" si="23"/>
        <v>9</v>
      </c>
      <c r="I591" s="6">
        <f t="shared" si="22"/>
        <v>3</v>
      </c>
      <c r="J591" s="2" t="s">
        <v>31</v>
      </c>
    </row>
    <row r="592" spans="1:12" x14ac:dyDescent="0.25">
      <c r="A592" s="4">
        <v>40755</v>
      </c>
      <c r="B592" s="2" t="s">
        <v>38</v>
      </c>
      <c r="C592" t="s">
        <v>10</v>
      </c>
      <c r="D592" t="s">
        <v>208</v>
      </c>
      <c r="E592" s="2">
        <v>45808</v>
      </c>
      <c r="F592" s="2" cm="1">
        <f t="array" ref="F592">_xlfn.IFS(B592="Owner Surrender",E592,B592="Stray",E592+6,B592="Stray w/identification",E592+11,B592="Bite",E592+10,B592="Other",Blank)</f>
        <v>45814</v>
      </c>
      <c r="G592" s="2">
        <v>45866</v>
      </c>
      <c r="H592" s="6">
        <f t="shared" si="23"/>
        <v>58</v>
      </c>
      <c r="I592" s="6">
        <f t="shared" si="22"/>
        <v>52</v>
      </c>
      <c r="J592" s="2" t="s">
        <v>11</v>
      </c>
      <c r="K592" t="s">
        <v>13</v>
      </c>
    </row>
    <row r="593" spans="1:12" x14ac:dyDescent="0.25">
      <c r="A593" s="1">
        <v>40756</v>
      </c>
      <c r="B593" s="2" t="s">
        <v>38</v>
      </c>
      <c r="C593" t="s">
        <v>7</v>
      </c>
      <c r="D593" t="s">
        <v>209</v>
      </c>
      <c r="E593" s="2">
        <v>45808</v>
      </c>
      <c r="F593" s="2" cm="1">
        <f t="array" ref="F593">_xlfn.IFS(B593="Owner Surrender",E593,B593="Stray",E593+6,B593="Stray w/identification",E593+11,B593="Bite",E593+10,B593="Other",Blank)</f>
        <v>45814</v>
      </c>
      <c r="G593" s="2">
        <v>45817</v>
      </c>
      <c r="H593" s="6">
        <f t="shared" si="23"/>
        <v>9</v>
      </c>
      <c r="I593" s="6">
        <f t="shared" si="22"/>
        <v>3</v>
      </c>
      <c r="J593" s="2" t="s">
        <v>31</v>
      </c>
    </row>
    <row r="594" spans="1:12" x14ac:dyDescent="0.25">
      <c r="A594" s="1">
        <v>40757</v>
      </c>
      <c r="B594" s="2" t="s">
        <v>38</v>
      </c>
      <c r="C594" t="s">
        <v>7</v>
      </c>
      <c r="D594" t="s">
        <v>208</v>
      </c>
      <c r="E594" s="2">
        <v>45808</v>
      </c>
      <c r="F594" s="2" cm="1">
        <f t="array" ref="F594">_xlfn.IFS(B594="Owner Surrender",E594,B594="Stray",E594+6,B594="Stray w/identification",E594+11,B594="Bite",E594+10,B594="Other",Blank)</f>
        <v>45814</v>
      </c>
      <c r="H594" s="6">
        <f t="shared" si="23"/>
        <v>-45808</v>
      </c>
      <c r="I594" s="6">
        <f t="shared" si="22"/>
        <v>-45814</v>
      </c>
      <c r="J594" s="2" t="s">
        <v>21</v>
      </c>
    </row>
    <row r="595" spans="1:12" x14ac:dyDescent="0.25">
      <c r="A595" s="1">
        <v>40758</v>
      </c>
      <c r="B595" s="2" t="s">
        <v>38</v>
      </c>
      <c r="C595" t="s">
        <v>7</v>
      </c>
      <c r="D595" t="s">
        <v>208</v>
      </c>
      <c r="E595" s="2">
        <v>45808</v>
      </c>
      <c r="F595" s="2" cm="1">
        <f t="array" ref="F595">_xlfn.IFS(B595="Owner Surrender",E595,B595="Stray",E595+6,B595="Stray w/identification",E595+11,B595="Bite",E595+10,B595="Other",Blank)</f>
        <v>45814</v>
      </c>
      <c r="G595" s="2">
        <v>45826</v>
      </c>
      <c r="H595" s="6">
        <f t="shared" si="23"/>
        <v>18</v>
      </c>
      <c r="I595" s="6">
        <f t="shared" si="22"/>
        <v>12</v>
      </c>
      <c r="J595" s="2" t="s">
        <v>11</v>
      </c>
      <c r="K595" t="s">
        <v>409</v>
      </c>
    </row>
    <row r="596" spans="1:12" x14ac:dyDescent="0.25">
      <c r="A596" s="3">
        <v>40762</v>
      </c>
      <c r="B596" s="2" t="s">
        <v>36</v>
      </c>
      <c r="C596" t="s">
        <v>7</v>
      </c>
      <c r="D596" t="s">
        <v>210</v>
      </c>
      <c r="E596" s="2">
        <v>45810</v>
      </c>
      <c r="F596" s="2" cm="1">
        <f t="array" ref="F596">_xlfn.IFS(B596="Owner Surrender",E596,B596="Stray",E596+6,B596="Stray w/identification",E596+11,B596="Bite",E596+10,B596="Other",Blank)</f>
        <v>45810</v>
      </c>
      <c r="G596" s="2">
        <v>45866</v>
      </c>
      <c r="H596" s="6">
        <f t="shared" si="23"/>
        <v>56</v>
      </c>
      <c r="I596" s="6">
        <f t="shared" si="22"/>
        <v>56</v>
      </c>
      <c r="J596" s="2" t="s">
        <v>31</v>
      </c>
      <c r="K596" t="s">
        <v>408</v>
      </c>
    </row>
    <row r="597" spans="1:12" x14ac:dyDescent="0.25">
      <c r="A597" s="1">
        <v>40766</v>
      </c>
      <c r="B597" s="2" t="s">
        <v>38</v>
      </c>
      <c r="C597" t="s">
        <v>7</v>
      </c>
      <c r="D597" t="s">
        <v>208</v>
      </c>
      <c r="E597" s="2">
        <v>45809</v>
      </c>
      <c r="F597" s="2" cm="1">
        <f t="array" ref="F597">_xlfn.IFS(B597="Owner Surrender",E597,B597="Stray",E597+6,B597="Stray w/identification",E597+11,B597="Bite",E597+10,B597="Other",Blank)</f>
        <v>45815</v>
      </c>
      <c r="G597" s="2">
        <v>45812</v>
      </c>
      <c r="H597" s="6">
        <f t="shared" si="23"/>
        <v>3</v>
      </c>
      <c r="I597" s="6">
        <f t="shared" si="22"/>
        <v>-3</v>
      </c>
      <c r="J597" s="2" t="s">
        <v>8</v>
      </c>
    </row>
    <row r="598" spans="1:12" x14ac:dyDescent="0.25">
      <c r="A598" s="1">
        <v>40769</v>
      </c>
      <c r="B598" s="2" t="s">
        <v>36</v>
      </c>
      <c r="C598" t="s">
        <v>7</v>
      </c>
      <c r="D598" t="s">
        <v>208</v>
      </c>
      <c r="E598" s="2">
        <v>45810</v>
      </c>
      <c r="F598" s="2" cm="1">
        <f t="array" ref="F598">_xlfn.IFS(B598="Owner Surrender",E598,B598="Stray",E598+6,B598="Stray w/identification",E598+11,B598="Bite",E598+10,B598="Other",Blank)</f>
        <v>45810</v>
      </c>
      <c r="G598" s="2">
        <v>45812</v>
      </c>
      <c r="H598" s="6">
        <f t="shared" si="23"/>
        <v>2</v>
      </c>
      <c r="I598" s="6">
        <f t="shared" si="22"/>
        <v>2</v>
      </c>
      <c r="J598" s="2" t="s">
        <v>31</v>
      </c>
      <c r="K598" t="s">
        <v>407</v>
      </c>
    </row>
    <row r="599" spans="1:12" x14ac:dyDescent="0.25">
      <c r="A599" s="1">
        <v>40772</v>
      </c>
      <c r="B599" s="2" t="s">
        <v>36</v>
      </c>
      <c r="C599" t="s">
        <v>7</v>
      </c>
      <c r="D599" t="s">
        <v>209</v>
      </c>
      <c r="E599" s="2">
        <v>45810</v>
      </c>
      <c r="F599" s="2" cm="1">
        <f t="array" ref="F599">_xlfn.IFS(B599="Owner Surrender",E599,B599="Stray",E599+6,B599="Stray w/identification",E599+11,B599="Bite",E599+10,B599="Other",Blank)</f>
        <v>45810</v>
      </c>
      <c r="G599" s="2">
        <v>45812</v>
      </c>
      <c r="H599" s="6">
        <f t="shared" si="23"/>
        <v>2</v>
      </c>
      <c r="I599" s="6">
        <f t="shared" si="22"/>
        <v>2</v>
      </c>
      <c r="J599" s="2" t="s">
        <v>31</v>
      </c>
    </row>
    <row r="600" spans="1:12" x14ac:dyDescent="0.25">
      <c r="A600" s="1">
        <v>40773</v>
      </c>
      <c r="B600" s="2" t="s">
        <v>36</v>
      </c>
      <c r="C600" t="s">
        <v>7</v>
      </c>
      <c r="D600" t="s">
        <v>209</v>
      </c>
      <c r="E600" s="2">
        <v>45810</v>
      </c>
      <c r="F600" s="2" cm="1">
        <f t="array" ref="F600">_xlfn.IFS(B600="Owner Surrender",E600,B600="Stray",E600+6,B600="Stray w/identification",E600+11,B600="Bite",E600+10,B600="Other",Blank)</f>
        <v>45810</v>
      </c>
      <c r="G600" s="2">
        <v>45812</v>
      </c>
      <c r="H600" s="6">
        <f t="shared" si="23"/>
        <v>2</v>
      </c>
      <c r="I600" s="6">
        <f t="shared" si="22"/>
        <v>2</v>
      </c>
      <c r="J600" s="2" t="s">
        <v>31</v>
      </c>
    </row>
    <row r="601" spans="1:12" x14ac:dyDescent="0.25">
      <c r="A601" s="1">
        <v>40780</v>
      </c>
      <c r="B601" s="2" t="s">
        <v>36</v>
      </c>
      <c r="C601" t="s">
        <v>7</v>
      </c>
      <c r="D601" t="s">
        <v>209</v>
      </c>
      <c r="E601" s="2">
        <v>45811</v>
      </c>
      <c r="F601" s="2" cm="1">
        <f t="array" ref="F601">_xlfn.IFS(B601="Owner Surrender",E601,B601="Stray",E601+6,B601="Stray w/identification",E601+11,B601="Bite",E601+10,B601="Other",Blank)</f>
        <v>45811</v>
      </c>
      <c r="G601" s="2">
        <v>45817</v>
      </c>
      <c r="H601" s="6">
        <f t="shared" si="23"/>
        <v>6</v>
      </c>
      <c r="I601" s="6">
        <f t="shared" si="22"/>
        <v>6</v>
      </c>
      <c r="J601" s="2" t="s">
        <v>31</v>
      </c>
    </row>
    <row r="602" spans="1:12" x14ac:dyDescent="0.25">
      <c r="A602" s="1">
        <v>40782</v>
      </c>
      <c r="B602" s="2" t="s">
        <v>36</v>
      </c>
      <c r="C602" t="s">
        <v>7</v>
      </c>
      <c r="D602" t="s">
        <v>209</v>
      </c>
      <c r="E602" s="2">
        <v>45811</v>
      </c>
      <c r="F602" s="2" cm="1">
        <f t="array" ref="F602">_xlfn.IFS(B602="Owner Surrender",E602,B602="Stray",E602+6,B602="Stray w/identification",E602+11,B602="Bite",E602+10,B602="Other",Blank)</f>
        <v>45811</v>
      </c>
      <c r="G602" s="2">
        <v>45817</v>
      </c>
      <c r="H602" s="6">
        <f t="shared" si="23"/>
        <v>6</v>
      </c>
      <c r="I602" s="6">
        <f t="shared" si="22"/>
        <v>6</v>
      </c>
      <c r="J602" s="2" t="s">
        <v>31</v>
      </c>
    </row>
    <row r="603" spans="1:12" x14ac:dyDescent="0.25">
      <c r="A603" s="1">
        <v>40783</v>
      </c>
      <c r="B603" s="2" t="s">
        <v>36</v>
      </c>
      <c r="C603" t="s">
        <v>7</v>
      </c>
      <c r="D603" t="s">
        <v>209</v>
      </c>
      <c r="E603" s="2">
        <v>45811</v>
      </c>
      <c r="F603" s="2" cm="1">
        <f t="array" ref="F603">_xlfn.IFS(B603="Owner Surrender",E603,B603="Stray",E603+6,B603="Stray w/identification",E603+11,B603="Bite",E603+10,B603="Other",Blank)</f>
        <v>45811</v>
      </c>
      <c r="G603" s="2">
        <v>45817</v>
      </c>
      <c r="H603" s="6">
        <f t="shared" si="23"/>
        <v>6</v>
      </c>
      <c r="I603" s="6">
        <f t="shared" si="22"/>
        <v>6</v>
      </c>
      <c r="J603" s="2" t="s">
        <v>31</v>
      </c>
    </row>
    <row r="604" spans="1:12" x14ac:dyDescent="0.25">
      <c r="A604" s="1">
        <v>40784</v>
      </c>
      <c r="B604" s="2" t="s">
        <v>36</v>
      </c>
      <c r="C604" t="s">
        <v>7</v>
      </c>
      <c r="D604" t="s">
        <v>209</v>
      </c>
      <c r="E604" s="2">
        <v>45811</v>
      </c>
      <c r="F604" s="2" cm="1">
        <f t="array" ref="F604">_xlfn.IFS(B604="Owner Surrender",E604,B604="Stray",E604+6,B604="Stray w/identification",E604+11,B604="Bite",E604+10,B604="Other",Blank)</f>
        <v>45811</v>
      </c>
      <c r="G604" s="2">
        <v>45817</v>
      </c>
      <c r="H604" s="6">
        <f t="shared" si="23"/>
        <v>6</v>
      </c>
      <c r="I604" s="6">
        <f t="shared" si="22"/>
        <v>6</v>
      </c>
      <c r="J604" s="2" t="s">
        <v>31</v>
      </c>
    </row>
    <row r="605" spans="1:12" x14ac:dyDescent="0.25">
      <c r="A605" s="1">
        <v>40786</v>
      </c>
      <c r="B605" s="2" t="s">
        <v>36</v>
      </c>
      <c r="C605" t="s">
        <v>7</v>
      </c>
      <c r="D605" t="s">
        <v>209</v>
      </c>
      <c r="E605" s="2">
        <v>45811</v>
      </c>
      <c r="F605" s="2" cm="1">
        <f t="array" ref="F605">_xlfn.IFS(B605="Owner Surrender",E605,B605="Stray",E605+6,B605="Stray w/identification",E605+11,B605="Bite",E605+10,B605="Other",Blank)</f>
        <v>45811</v>
      </c>
      <c r="G605" s="2">
        <v>45817</v>
      </c>
      <c r="H605" s="6">
        <f t="shared" si="23"/>
        <v>6</v>
      </c>
      <c r="I605" s="6">
        <f t="shared" si="22"/>
        <v>6</v>
      </c>
      <c r="J605" s="2" t="s">
        <v>31</v>
      </c>
    </row>
    <row r="606" spans="1:12" x14ac:dyDescent="0.25">
      <c r="A606" s="1">
        <v>40788</v>
      </c>
      <c r="B606" s="2" t="s">
        <v>38</v>
      </c>
      <c r="C606" t="s">
        <v>7</v>
      </c>
      <c r="D606" t="s">
        <v>209</v>
      </c>
      <c r="E606" s="2">
        <v>45811</v>
      </c>
      <c r="F606" s="2" cm="1">
        <f t="array" ref="F606">_xlfn.IFS(B606="Owner Surrender",E606,B606="Stray",E606+6,B606="Stray w/identification",E606+11,B606="Bite",E606+10,B606="Other",Blank)</f>
        <v>45817</v>
      </c>
      <c r="G606" s="2">
        <v>45811</v>
      </c>
      <c r="H606" s="6">
        <f t="shared" si="23"/>
        <v>0</v>
      </c>
      <c r="I606" s="6">
        <f t="shared" si="22"/>
        <v>-6</v>
      </c>
      <c r="J606" s="2" t="s">
        <v>31</v>
      </c>
      <c r="L606" t="s">
        <v>406</v>
      </c>
    </row>
    <row r="607" spans="1:12" x14ac:dyDescent="0.25">
      <c r="A607" s="1">
        <v>40790</v>
      </c>
      <c r="B607" s="2" t="s">
        <v>38</v>
      </c>
      <c r="C607" t="s">
        <v>7</v>
      </c>
      <c r="D607" t="s">
        <v>209</v>
      </c>
      <c r="E607" s="2">
        <v>45811</v>
      </c>
      <c r="F607" s="2" cm="1">
        <f t="array" ref="F607">_xlfn.IFS(B607="Owner Surrender",E607,B607="Stray",E607+6,B607="Stray w/identification",E607+11,B607="Bite",E607+10,B607="Other",Blank)</f>
        <v>45817</v>
      </c>
      <c r="G607" s="2">
        <v>45825</v>
      </c>
      <c r="H607" s="6">
        <f t="shared" si="23"/>
        <v>14</v>
      </c>
      <c r="I607" s="6">
        <f t="shared" si="22"/>
        <v>8</v>
      </c>
      <c r="J607" s="2" t="s">
        <v>11</v>
      </c>
    </row>
    <row r="608" spans="1:12" x14ac:dyDescent="0.25">
      <c r="A608" s="1">
        <v>40791</v>
      </c>
      <c r="B608" s="2" t="s">
        <v>38</v>
      </c>
      <c r="C608" t="s">
        <v>10</v>
      </c>
      <c r="D608" t="s">
        <v>208</v>
      </c>
      <c r="E608" s="2">
        <v>45797</v>
      </c>
      <c r="F608" s="2" cm="1">
        <f t="array" ref="F608">_xlfn.IFS(B608="Owner Surrender",E608,B608="Stray",E608+6,B608="Stray w/identification",E608+11,B608="Bite",E608+10,B608="Other",Blank)</f>
        <v>45803</v>
      </c>
      <c r="G608" s="2">
        <v>45811</v>
      </c>
      <c r="H608" s="6">
        <f t="shared" si="23"/>
        <v>14</v>
      </c>
      <c r="I608" s="6">
        <f t="shared" si="22"/>
        <v>8</v>
      </c>
      <c r="J608" s="2" t="s">
        <v>11</v>
      </c>
    </row>
    <row r="609" spans="1:11" x14ac:dyDescent="0.25">
      <c r="A609" s="1">
        <v>40795</v>
      </c>
      <c r="B609" s="2" t="s">
        <v>36</v>
      </c>
      <c r="C609" t="s">
        <v>10</v>
      </c>
      <c r="D609" t="s">
        <v>209</v>
      </c>
      <c r="E609" s="2">
        <v>45812</v>
      </c>
      <c r="F609" s="2" cm="1">
        <f t="array" ref="F609">_xlfn.IFS(B609="Owner Surrender",E609,B609="Stray",E609+6,B609="Stray w/identification",E609+11,B609="Bite",E609+10,B609="Other",Blank)</f>
        <v>45812</v>
      </c>
      <c r="G609" s="2">
        <v>45825</v>
      </c>
      <c r="H609" s="6">
        <f t="shared" si="23"/>
        <v>13</v>
      </c>
      <c r="I609" s="6">
        <f t="shared" si="22"/>
        <v>13</v>
      </c>
      <c r="J609" s="2" t="s">
        <v>31</v>
      </c>
    </row>
    <row r="610" spans="1:11" x14ac:dyDescent="0.25">
      <c r="A610" s="1">
        <v>40796</v>
      </c>
      <c r="B610" s="2" t="s">
        <v>36</v>
      </c>
      <c r="C610" t="s">
        <v>10</v>
      </c>
      <c r="D610" t="s">
        <v>209</v>
      </c>
      <c r="E610" s="2">
        <v>45812</v>
      </c>
      <c r="F610" s="2" cm="1">
        <f t="array" ref="F610">_xlfn.IFS(B610="Owner Surrender",E610,B610="Stray",E610+6,B610="Stray w/identification",E610+11,B610="Bite",E610+10,B610="Other",Blank)</f>
        <v>45812</v>
      </c>
      <c r="G610" s="2">
        <v>45825</v>
      </c>
      <c r="H610" s="6">
        <f t="shared" si="23"/>
        <v>13</v>
      </c>
      <c r="I610" s="6">
        <f t="shared" si="22"/>
        <v>13</v>
      </c>
      <c r="J610" s="2" t="s">
        <v>31</v>
      </c>
    </row>
    <row r="611" spans="1:11" x14ac:dyDescent="0.25">
      <c r="A611" s="1">
        <v>40797</v>
      </c>
      <c r="B611" s="2" t="s">
        <v>36</v>
      </c>
      <c r="C611" t="s">
        <v>10</v>
      </c>
      <c r="D611" t="s">
        <v>209</v>
      </c>
      <c r="E611" s="2">
        <v>45812</v>
      </c>
      <c r="F611" s="2" cm="1">
        <f t="array" ref="F611">_xlfn.IFS(B611="Owner Surrender",E611,B611="Stray",E611+6,B611="Stray w/identification",E611+11,B611="Bite",E611+10,B611="Other",Blank)</f>
        <v>45812</v>
      </c>
      <c r="G611" s="2">
        <v>45825</v>
      </c>
      <c r="H611" s="6">
        <f t="shared" si="23"/>
        <v>13</v>
      </c>
      <c r="I611" s="6">
        <f t="shared" si="22"/>
        <v>13</v>
      </c>
      <c r="J611" s="2" t="s">
        <v>31</v>
      </c>
    </row>
    <row r="612" spans="1:11" x14ac:dyDescent="0.25">
      <c r="A612" s="1">
        <v>40798</v>
      </c>
      <c r="B612" s="2" t="s">
        <v>36</v>
      </c>
      <c r="C612" t="s">
        <v>10</v>
      </c>
      <c r="D612" t="s">
        <v>209</v>
      </c>
      <c r="E612" s="2">
        <v>45812</v>
      </c>
      <c r="F612" s="2" cm="1">
        <f t="array" ref="F612">_xlfn.IFS(B612="Owner Surrender",E612,B612="Stray",E612+6,B612="Stray w/identification",E612+11,B612="Bite",E612+10,B612="Other",Blank)</f>
        <v>45812</v>
      </c>
      <c r="G612" s="2">
        <v>45825</v>
      </c>
      <c r="H612" s="6">
        <f t="shared" si="23"/>
        <v>13</v>
      </c>
      <c r="I612" s="6">
        <f t="shared" si="22"/>
        <v>13</v>
      </c>
      <c r="J612" s="2" t="s">
        <v>31</v>
      </c>
    </row>
    <row r="613" spans="1:11" x14ac:dyDescent="0.25">
      <c r="A613" s="1">
        <v>40832</v>
      </c>
      <c r="B613" s="2" t="s">
        <v>36</v>
      </c>
      <c r="C613" t="s">
        <v>7</v>
      </c>
      <c r="D613" t="s">
        <v>209</v>
      </c>
      <c r="E613" s="2">
        <v>45814</v>
      </c>
      <c r="F613" s="2" cm="1">
        <f t="array" ref="F613">_xlfn.IFS(B613="Owner Surrender",E613,B613="Stray",E613+6,B613="Stray w/identification",E613+11,B613="Bite",E613+10,B613="Other",Blank)</f>
        <v>45814</v>
      </c>
      <c r="H613" s="6">
        <f t="shared" si="23"/>
        <v>-45814</v>
      </c>
      <c r="I613" s="6">
        <f t="shared" si="22"/>
        <v>-45814</v>
      </c>
      <c r="J613" s="2" t="s">
        <v>21</v>
      </c>
    </row>
    <row r="614" spans="1:11" x14ac:dyDescent="0.25">
      <c r="A614" s="1">
        <v>40833</v>
      </c>
      <c r="B614" s="2" t="s">
        <v>36</v>
      </c>
      <c r="C614" t="s">
        <v>7</v>
      </c>
      <c r="D614" t="s">
        <v>209</v>
      </c>
      <c r="E614" s="2">
        <v>45814</v>
      </c>
      <c r="F614" s="2" cm="1">
        <f t="array" ref="F614">_xlfn.IFS(B614="Owner Surrender",E614,B614="Stray",E614+6,B614="Stray w/identification",E614+11,B614="Bite",E614+10,B614="Other",Blank)</f>
        <v>45814</v>
      </c>
      <c r="G614" s="2">
        <v>45825</v>
      </c>
      <c r="H614" s="6">
        <f t="shared" si="23"/>
        <v>11</v>
      </c>
      <c r="I614" s="6">
        <f t="shared" ref="I614:I677" si="24">G614-F614</f>
        <v>11</v>
      </c>
      <c r="J614" s="2" t="s">
        <v>31</v>
      </c>
    </row>
    <row r="615" spans="1:11" x14ac:dyDescent="0.25">
      <c r="A615" s="1">
        <v>40834</v>
      </c>
      <c r="B615" s="2" t="s">
        <v>36</v>
      </c>
      <c r="C615" t="s">
        <v>7</v>
      </c>
      <c r="D615" t="s">
        <v>209</v>
      </c>
      <c r="E615" s="2">
        <v>45814</v>
      </c>
      <c r="F615" s="2" cm="1">
        <f t="array" ref="F615">_xlfn.IFS(B615="Owner Surrender",E615,B615="Stray",E615+6,B615="Stray w/identification",E615+11,B615="Bite",E615+10,B615="Other",Blank)</f>
        <v>45814</v>
      </c>
      <c r="G615" s="2">
        <v>45825</v>
      </c>
      <c r="H615" s="6">
        <f t="shared" si="23"/>
        <v>11</v>
      </c>
      <c r="I615" s="6">
        <f t="shared" si="24"/>
        <v>11</v>
      </c>
      <c r="J615" s="2" t="s">
        <v>31</v>
      </c>
    </row>
    <row r="616" spans="1:11" x14ac:dyDescent="0.25">
      <c r="A616" s="1">
        <v>40836</v>
      </c>
      <c r="B616" s="2" t="s">
        <v>38</v>
      </c>
      <c r="C616" t="s">
        <v>7</v>
      </c>
      <c r="D616" t="s">
        <v>208</v>
      </c>
      <c r="E616" s="2">
        <v>45815</v>
      </c>
      <c r="F616" s="2" cm="1">
        <f t="array" ref="F616">_xlfn.IFS(B616="Owner Surrender",E616,B616="Stray",E616+6,B616="Stray w/identification",E616+11,B616="Bite",E616+10,B616="Other",Blank)</f>
        <v>45821</v>
      </c>
      <c r="H616" s="6">
        <f t="shared" ref="H616:H679" si="25">+G616-E616</f>
        <v>-45815</v>
      </c>
      <c r="I616" s="6">
        <f t="shared" si="24"/>
        <v>-45821</v>
      </c>
      <c r="J616" s="2" t="s">
        <v>21</v>
      </c>
      <c r="K616" t="s">
        <v>405</v>
      </c>
    </row>
    <row r="617" spans="1:11" x14ac:dyDescent="0.25">
      <c r="A617" s="1">
        <v>40838</v>
      </c>
      <c r="B617" s="2" t="s">
        <v>36</v>
      </c>
      <c r="C617" t="s">
        <v>7</v>
      </c>
      <c r="D617" t="s">
        <v>209</v>
      </c>
      <c r="E617" s="2">
        <v>45815</v>
      </c>
      <c r="F617" s="2" cm="1">
        <f t="array" ref="F617">_xlfn.IFS(B617="Owner Surrender",E617,B617="Stray",E617+6,B617="Stray w/identification",E617+11,B617="Bite",E617+10,B617="Other",Blank)</f>
        <v>45815</v>
      </c>
      <c r="G617" s="2">
        <v>45826</v>
      </c>
      <c r="H617" s="6">
        <f t="shared" si="25"/>
        <v>11</v>
      </c>
      <c r="I617" s="6">
        <f t="shared" si="24"/>
        <v>11</v>
      </c>
      <c r="J617" s="2" t="s">
        <v>11</v>
      </c>
    </row>
    <row r="618" spans="1:11" x14ac:dyDescent="0.25">
      <c r="A618" s="1">
        <v>40857</v>
      </c>
      <c r="B618" s="2" t="s">
        <v>38</v>
      </c>
      <c r="C618" t="s">
        <v>7</v>
      </c>
      <c r="D618" t="s">
        <v>209</v>
      </c>
      <c r="E618" s="2">
        <v>45818</v>
      </c>
      <c r="F618" s="2" cm="1">
        <f t="array" ref="F618">_xlfn.IFS(B618="Owner Surrender",E618,B618="Stray",E618+6,B618="Stray w/identification",E618+11,B618="Bite",E618+10,B618="Other",Blank)</f>
        <v>45824</v>
      </c>
      <c r="G618" s="2">
        <v>45818</v>
      </c>
      <c r="H618" s="6">
        <f t="shared" si="25"/>
        <v>0</v>
      </c>
      <c r="I618" s="6">
        <f t="shared" si="24"/>
        <v>-6</v>
      </c>
      <c r="J618" s="2" t="s">
        <v>31</v>
      </c>
    </row>
    <row r="619" spans="1:11" x14ac:dyDescent="0.25">
      <c r="A619" s="1">
        <v>40861</v>
      </c>
      <c r="B619" s="2" t="s">
        <v>36</v>
      </c>
      <c r="C619" t="s">
        <v>7</v>
      </c>
      <c r="D619" t="s">
        <v>209</v>
      </c>
      <c r="E619" s="2">
        <v>45818</v>
      </c>
      <c r="F619" s="2" cm="1">
        <f t="array" ref="F619">_xlfn.IFS(B619="Owner Surrender",E619,B619="Stray",E619+6,B619="Stray w/identification",E619+11,B619="Bite",E619+10,B619="Other",Blank)</f>
        <v>45818</v>
      </c>
      <c r="G619" s="2">
        <v>45834</v>
      </c>
      <c r="H619" s="6">
        <f t="shared" si="25"/>
        <v>16</v>
      </c>
      <c r="I619" s="6">
        <f t="shared" si="24"/>
        <v>16</v>
      </c>
      <c r="J619" s="2" t="s">
        <v>31</v>
      </c>
    </row>
    <row r="620" spans="1:11" x14ac:dyDescent="0.25">
      <c r="A620" s="1">
        <v>40862</v>
      </c>
      <c r="B620" s="2" t="s">
        <v>36</v>
      </c>
      <c r="C620" t="s">
        <v>7</v>
      </c>
      <c r="D620" t="s">
        <v>209</v>
      </c>
      <c r="E620" s="2">
        <v>45818</v>
      </c>
      <c r="F620" s="2" cm="1">
        <f t="array" ref="F620">_xlfn.IFS(B620="Owner Surrender",E620,B620="Stray",E620+6,B620="Stray w/identification",E620+11,B620="Bite",E620+10,B620="Other",Blank)</f>
        <v>45818</v>
      </c>
      <c r="G620" s="2">
        <v>45834</v>
      </c>
      <c r="H620" s="6">
        <f t="shared" si="25"/>
        <v>16</v>
      </c>
      <c r="I620" s="6">
        <f t="shared" si="24"/>
        <v>16</v>
      </c>
      <c r="J620" s="2" t="s">
        <v>31</v>
      </c>
    </row>
    <row r="621" spans="1:11" x14ac:dyDescent="0.25">
      <c r="A621" s="1">
        <v>40865</v>
      </c>
      <c r="B621" s="2" t="s">
        <v>36</v>
      </c>
      <c r="C621" t="s">
        <v>7</v>
      </c>
      <c r="D621" t="s">
        <v>209</v>
      </c>
      <c r="E621" s="2">
        <v>45818</v>
      </c>
      <c r="F621" s="2" cm="1">
        <f t="array" ref="F621">_xlfn.IFS(B621="Owner Surrender",E621,B621="Stray",E621+6,B621="Stray w/identification",E621+11,B621="Bite",E621+10,B621="Other",Blank)</f>
        <v>45818</v>
      </c>
      <c r="G621" s="2">
        <v>45834</v>
      </c>
      <c r="H621" s="6">
        <f t="shared" si="25"/>
        <v>16</v>
      </c>
      <c r="I621" s="6">
        <f t="shared" si="24"/>
        <v>16</v>
      </c>
      <c r="J621" s="2" t="s">
        <v>31</v>
      </c>
    </row>
    <row r="622" spans="1:11" x14ac:dyDescent="0.25">
      <c r="A622" s="1">
        <v>40869</v>
      </c>
      <c r="B622" s="2" t="s">
        <v>38</v>
      </c>
      <c r="C622" t="s">
        <v>7</v>
      </c>
      <c r="D622" t="s">
        <v>208</v>
      </c>
      <c r="E622" s="2">
        <v>45819</v>
      </c>
      <c r="F622" s="2" cm="1">
        <f t="array" ref="F622">_xlfn.IFS(B622="Owner Surrender",E622,B622="Stray",E622+6,B622="Stray w/identification",E622+11,B622="Bite",E622+10,B622="Other",Blank)</f>
        <v>45825</v>
      </c>
      <c r="G622" s="2">
        <v>45833</v>
      </c>
      <c r="H622" s="6">
        <f t="shared" si="25"/>
        <v>14</v>
      </c>
      <c r="I622" s="6">
        <f t="shared" si="24"/>
        <v>8</v>
      </c>
      <c r="J622" s="2" t="s">
        <v>18</v>
      </c>
    </row>
    <row r="623" spans="1:11" x14ac:dyDescent="0.25">
      <c r="A623" s="1">
        <v>40870</v>
      </c>
      <c r="B623" s="2" t="s">
        <v>38</v>
      </c>
      <c r="C623" t="s">
        <v>7</v>
      </c>
      <c r="D623" t="s">
        <v>209</v>
      </c>
      <c r="E623" s="2">
        <v>45819</v>
      </c>
      <c r="F623" s="2" cm="1">
        <f t="array" ref="F623">_xlfn.IFS(B623="Owner Surrender",E623,B623="Stray",E623+6,B623="Stray w/identification",E623+11,B623="Bite",E623+10,B623="Other",Blank)</f>
        <v>45825</v>
      </c>
      <c r="G623" s="2">
        <v>45833</v>
      </c>
      <c r="H623" s="6">
        <f t="shared" si="25"/>
        <v>14</v>
      </c>
      <c r="I623" s="6">
        <f t="shared" si="24"/>
        <v>8</v>
      </c>
      <c r="J623" s="2" t="s">
        <v>18</v>
      </c>
    </row>
    <row r="624" spans="1:11" x14ac:dyDescent="0.25">
      <c r="A624" s="1">
        <v>40871</v>
      </c>
      <c r="B624" s="2" t="s">
        <v>38</v>
      </c>
      <c r="C624" t="s">
        <v>7</v>
      </c>
      <c r="D624" t="s">
        <v>209</v>
      </c>
      <c r="E624" s="2">
        <v>45819</v>
      </c>
      <c r="F624" s="2" cm="1">
        <f t="array" ref="F624">_xlfn.IFS(B624="Owner Surrender",E624,B624="Stray",E624+6,B624="Stray w/identification",E624+11,B624="Bite",E624+10,B624="Other",Blank)</f>
        <v>45825</v>
      </c>
      <c r="G624" s="2">
        <v>45833</v>
      </c>
      <c r="H624" s="6">
        <f t="shared" si="25"/>
        <v>14</v>
      </c>
      <c r="I624" s="6">
        <f t="shared" si="24"/>
        <v>8</v>
      </c>
      <c r="J624" s="2" t="s">
        <v>18</v>
      </c>
    </row>
    <row r="625" spans="1:12" x14ac:dyDescent="0.25">
      <c r="A625" s="1">
        <v>40872</v>
      </c>
      <c r="B625" s="2" t="s">
        <v>38</v>
      </c>
      <c r="C625" t="s">
        <v>7</v>
      </c>
      <c r="D625" t="s">
        <v>209</v>
      </c>
      <c r="E625" s="2">
        <v>45819</v>
      </c>
      <c r="F625" s="2" cm="1">
        <f t="array" ref="F625">_xlfn.IFS(B625="Owner Surrender",E625,B625="Stray",E625+6,B625="Stray w/identification",E625+11,B625="Bite",E625+10,B625="Other",Blank)</f>
        <v>45825</v>
      </c>
      <c r="G625" s="2">
        <v>45833</v>
      </c>
      <c r="H625" s="6">
        <f t="shared" si="25"/>
        <v>14</v>
      </c>
      <c r="I625" s="6">
        <f t="shared" si="24"/>
        <v>8</v>
      </c>
      <c r="J625" s="2" t="s">
        <v>18</v>
      </c>
    </row>
    <row r="626" spans="1:12" x14ac:dyDescent="0.25">
      <c r="A626" s="1">
        <v>40873</v>
      </c>
      <c r="B626" s="2" t="s">
        <v>38</v>
      </c>
      <c r="C626" t="s">
        <v>7</v>
      </c>
      <c r="D626" t="s">
        <v>209</v>
      </c>
      <c r="E626" s="2">
        <v>45819</v>
      </c>
      <c r="F626" s="2" cm="1">
        <f t="array" ref="F626">_xlfn.IFS(B626="Owner Surrender",E626,B626="Stray",E626+6,B626="Stray w/identification",E626+11,B626="Bite",E626+10,B626="Other",Blank)</f>
        <v>45825</v>
      </c>
      <c r="G626" s="2">
        <v>45833</v>
      </c>
      <c r="H626" s="6">
        <f t="shared" si="25"/>
        <v>14</v>
      </c>
      <c r="I626" s="6">
        <f t="shared" si="24"/>
        <v>8</v>
      </c>
      <c r="J626" s="2" t="s">
        <v>18</v>
      </c>
    </row>
    <row r="627" spans="1:12" x14ac:dyDescent="0.25">
      <c r="A627" s="1">
        <v>40874</v>
      </c>
      <c r="B627" s="2" t="s">
        <v>38</v>
      </c>
      <c r="C627" t="s">
        <v>7</v>
      </c>
      <c r="D627" t="s">
        <v>209</v>
      </c>
      <c r="E627" s="2">
        <v>45819</v>
      </c>
      <c r="F627" s="2" cm="1">
        <f t="array" ref="F627">_xlfn.IFS(B627="Owner Surrender",E627,B627="Stray",E627+6,B627="Stray w/identification",E627+11,B627="Bite",E627+10,B627="Other",Blank)</f>
        <v>45825</v>
      </c>
      <c r="G627" s="2">
        <v>45833</v>
      </c>
      <c r="H627" s="6">
        <f t="shared" si="25"/>
        <v>14</v>
      </c>
      <c r="I627" s="6">
        <f t="shared" si="24"/>
        <v>8</v>
      </c>
      <c r="J627" s="2" t="s">
        <v>18</v>
      </c>
    </row>
    <row r="628" spans="1:12" x14ac:dyDescent="0.25">
      <c r="A628" s="1">
        <v>40886</v>
      </c>
      <c r="B628" s="2" t="s">
        <v>36</v>
      </c>
      <c r="C628" t="s">
        <v>7</v>
      </c>
      <c r="D628" t="s">
        <v>211</v>
      </c>
      <c r="E628" s="2">
        <v>45820</v>
      </c>
      <c r="F628" s="2" cm="1">
        <f t="array" ref="F628">_xlfn.IFS(B628="Owner Surrender",E628,B628="Stray",E628+6,B628="Stray w/identification",E628+11,B628="Bite",E628+10,B628="Other",Blank)</f>
        <v>45820</v>
      </c>
      <c r="G628" s="2">
        <v>45821</v>
      </c>
      <c r="H628" s="6">
        <f t="shared" si="25"/>
        <v>1</v>
      </c>
      <c r="I628" s="6">
        <f t="shared" si="24"/>
        <v>1</v>
      </c>
      <c r="J628" s="2" t="s">
        <v>31</v>
      </c>
    </row>
    <row r="629" spans="1:12" x14ac:dyDescent="0.25">
      <c r="A629" s="1">
        <v>40898</v>
      </c>
      <c r="B629" s="2" t="s">
        <v>38</v>
      </c>
      <c r="C629" t="s">
        <v>7</v>
      </c>
      <c r="D629" t="s">
        <v>208</v>
      </c>
      <c r="E629" s="2">
        <v>45821</v>
      </c>
      <c r="F629" s="2" cm="1">
        <f t="array" ref="F629">_xlfn.IFS(B629="Owner Surrender",E629,B629="Stray",E629+6,B629="Stray w/identification",E629+11,B629="Bite",E629+10,B629="Other",Blank)</f>
        <v>45827</v>
      </c>
      <c r="G629" s="2">
        <v>45828</v>
      </c>
      <c r="H629" s="6">
        <f t="shared" si="25"/>
        <v>7</v>
      </c>
      <c r="I629" s="6">
        <f t="shared" si="24"/>
        <v>1</v>
      </c>
      <c r="J629" s="2" t="s">
        <v>31</v>
      </c>
    </row>
    <row r="630" spans="1:12" x14ac:dyDescent="0.25">
      <c r="A630" s="1">
        <v>40901</v>
      </c>
      <c r="B630" s="2" t="s">
        <v>38</v>
      </c>
      <c r="C630" t="s">
        <v>7</v>
      </c>
      <c r="D630" t="s">
        <v>209</v>
      </c>
      <c r="E630" s="2">
        <v>45821</v>
      </c>
      <c r="F630" s="2" cm="1">
        <f t="array" ref="F630">_xlfn.IFS(B630="Owner Surrender",E630,B630="Stray",E630+6,B630="Stray w/identification",E630+11,B630="Bite",E630+10,B630="Other",Blank)</f>
        <v>45827</v>
      </c>
      <c r="G630" s="2">
        <v>45825</v>
      </c>
      <c r="H630" s="6">
        <f t="shared" si="25"/>
        <v>4</v>
      </c>
      <c r="I630" s="6">
        <f t="shared" si="24"/>
        <v>-2</v>
      </c>
      <c r="J630" s="2" t="s">
        <v>31</v>
      </c>
      <c r="L630" t="s">
        <v>406</v>
      </c>
    </row>
    <row r="631" spans="1:12" x14ac:dyDescent="0.25">
      <c r="A631" s="1">
        <v>40906</v>
      </c>
      <c r="B631" s="2" t="s">
        <v>36</v>
      </c>
      <c r="C631" t="s">
        <v>7</v>
      </c>
      <c r="D631" t="s">
        <v>208</v>
      </c>
      <c r="E631" s="2">
        <v>45824</v>
      </c>
      <c r="F631" s="2" cm="1">
        <f t="array" ref="F631">_xlfn.IFS(B631="Owner Surrender",E631,B631="Stray",E631+6,B631="Stray w/identification",E631+11,B631="Bite",E631+10,B631="Other",Blank)</f>
        <v>45824</v>
      </c>
      <c r="G631" s="2">
        <v>45824</v>
      </c>
      <c r="H631" s="6">
        <f t="shared" si="25"/>
        <v>0</v>
      </c>
      <c r="I631" s="6">
        <f t="shared" si="24"/>
        <v>0</v>
      </c>
      <c r="J631" s="2" t="s">
        <v>31</v>
      </c>
      <c r="K631" t="s">
        <v>416</v>
      </c>
      <c r="L631" t="s">
        <v>417</v>
      </c>
    </row>
    <row r="632" spans="1:12" x14ac:dyDescent="0.25">
      <c r="A632" s="3">
        <v>40912</v>
      </c>
      <c r="B632" s="2" t="s">
        <v>38</v>
      </c>
      <c r="C632" t="s">
        <v>15</v>
      </c>
      <c r="D632" t="s">
        <v>209</v>
      </c>
      <c r="E632" s="2">
        <v>45824</v>
      </c>
      <c r="F632" s="2" cm="1">
        <f t="array" ref="F632">_xlfn.IFS(B632="Owner Surrender",E632,B632="Stray",E632+6,B632="Stray w/identification",E632+11,B632="Bite",E632+10,B632="Other",Blank)</f>
        <v>45830</v>
      </c>
      <c r="G632" s="2">
        <v>45861</v>
      </c>
      <c r="H632" s="6">
        <f t="shared" si="25"/>
        <v>37</v>
      </c>
      <c r="I632" s="6">
        <f t="shared" si="24"/>
        <v>31</v>
      </c>
      <c r="J632" s="2" t="s">
        <v>31</v>
      </c>
      <c r="K632" s="2" t="s">
        <v>116</v>
      </c>
    </row>
    <row r="633" spans="1:12" x14ac:dyDescent="0.25">
      <c r="A633" s="3">
        <v>40913</v>
      </c>
      <c r="B633" s="2" t="s">
        <v>36</v>
      </c>
      <c r="C633" t="s">
        <v>7</v>
      </c>
      <c r="D633" t="s">
        <v>209</v>
      </c>
      <c r="E633" s="2">
        <v>45824</v>
      </c>
      <c r="F633" s="2" cm="1">
        <f t="array" ref="F633">_xlfn.IFS(B633="Owner Surrender",E633,B633="Stray",E633+6,B633="Stray w/identification",E633+11,B633="Bite",E633+10,B633="Other",Blank)</f>
        <v>45824</v>
      </c>
      <c r="G633" s="2">
        <v>45841</v>
      </c>
      <c r="H633" s="6">
        <f t="shared" si="25"/>
        <v>17</v>
      </c>
      <c r="I633" s="6">
        <f t="shared" si="24"/>
        <v>17</v>
      </c>
      <c r="J633" s="2" t="s">
        <v>31</v>
      </c>
    </row>
    <row r="634" spans="1:12" x14ac:dyDescent="0.25">
      <c r="A634" s="3">
        <v>40914</v>
      </c>
      <c r="B634" s="2" t="s">
        <v>36</v>
      </c>
      <c r="C634" t="s">
        <v>7</v>
      </c>
      <c r="D634" t="s">
        <v>209</v>
      </c>
      <c r="E634" s="2">
        <v>45824</v>
      </c>
      <c r="F634" s="2" cm="1">
        <f t="array" ref="F634">_xlfn.IFS(B634="Owner Surrender",E634,B634="Stray",E634+6,B634="Stray w/identification",E634+11,B634="Bite",E634+10,B634="Other",Blank)</f>
        <v>45824</v>
      </c>
      <c r="G634" s="2">
        <v>45839</v>
      </c>
      <c r="H634" s="6">
        <f t="shared" si="25"/>
        <v>15</v>
      </c>
      <c r="I634" s="6">
        <f t="shared" si="24"/>
        <v>15</v>
      </c>
      <c r="J634" s="2" t="s">
        <v>31</v>
      </c>
    </row>
    <row r="635" spans="1:12" x14ac:dyDescent="0.25">
      <c r="A635" s="3">
        <v>40915</v>
      </c>
      <c r="B635" s="2" t="s">
        <v>36</v>
      </c>
      <c r="C635" t="s">
        <v>7</v>
      </c>
      <c r="D635" t="s">
        <v>209</v>
      </c>
      <c r="E635" s="2">
        <v>45824</v>
      </c>
      <c r="F635" s="2" cm="1">
        <f t="array" ref="F635">_xlfn.IFS(B635="Owner Surrender",E635,B635="Stray",E635+6,B635="Stray w/identification",E635+11,B635="Bite",E635+10,B635="Other",Blank)</f>
        <v>45824</v>
      </c>
      <c r="G635" s="2">
        <v>45839</v>
      </c>
      <c r="H635" s="6">
        <f t="shared" si="25"/>
        <v>15</v>
      </c>
      <c r="I635" s="6">
        <f t="shared" si="24"/>
        <v>15</v>
      </c>
      <c r="J635" s="2" t="s">
        <v>31</v>
      </c>
      <c r="L635" t="s">
        <v>33</v>
      </c>
    </row>
    <row r="636" spans="1:12" x14ac:dyDescent="0.25">
      <c r="A636" s="1">
        <v>40916</v>
      </c>
      <c r="B636" s="2" t="s">
        <v>38</v>
      </c>
      <c r="C636" t="s">
        <v>7</v>
      </c>
      <c r="D636" t="s">
        <v>209</v>
      </c>
      <c r="E636" s="2">
        <v>45824</v>
      </c>
      <c r="F636" s="2" cm="1">
        <f t="array" ref="F636">_xlfn.IFS(B636="Owner Surrender",E636,B636="Stray",E636+6,B636="Stray w/identification",E636+11,B636="Bite",E636+10,B636="Other",Blank)</f>
        <v>45830</v>
      </c>
      <c r="G636" s="2">
        <v>45833</v>
      </c>
      <c r="H636" s="6">
        <f t="shared" si="25"/>
        <v>9</v>
      </c>
      <c r="I636" s="6">
        <f t="shared" si="24"/>
        <v>3</v>
      </c>
      <c r="J636" s="2" t="s">
        <v>18</v>
      </c>
    </row>
    <row r="637" spans="1:12" x14ac:dyDescent="0.25">
      <c r="A637" s="3">
        <v>40922</v>
      </c>
      <c r="B637" s="2" t="s">
        <v>38</v>
      </c>
      <c r="C637" t="s">
        <v>7</v>
      </c>
      <c r="D637" t="s">
        <v>209</v>
      </c>
      <c r="E637" s="2">
        <v>45825</v>
      </c>
      <c r="F637" s="2" cm="1">
        <f t="array" ref="F637">_xlfn.IFS(B637="Owner Surrender",E637,B637="Stray",E637+6,B637="Stray w/identification",E637+11,B637="Bite",E637+10,B637="Other",Blank)</f>
        <v>45831</v>
      </c>
      <c r="G637" s="2">
        <v>45856</v>
      </c>
      <c r="H637" s="6">
        <f t="shared" si="25"/>
        <v>31</v>
      </c>
      <c r="I637" s="6">
        <f t="shared" si="24"/>
        <v>25</v>
      </c>
      <c r="J637" s="2" t="s">
        <v>11</v>
      </c>
    </row>
    <row r="638" spans="1:12" x14ac:dyDescent="0.25">
      <c r="A638" s="1">
        <v>40927</v>
      </c>
      <c r="B638" s="2" t="s">
        <v>36</v>
      </c>
      <c r="C638" t="s">
        <v>10</v>
      </c>
      <c r="D638" t="s">
        <v>208</v>
      </c>
      <c r="E638" s="2">
        <v>45825</v>
      </c>
      <c r="F638" s="2" cm="1">
        <f t="array" ref="F638">_xlfn.IFS(B638="Owner Surrender",E638,B638="Stray",E638+6,B638="Stray w/identification",E638+11,B638="Bite",E638+10,B638="Other",Blank)</f>
        <v>45825</v>
      </c>
      <c r="H638" s="6">
        <f t="shared" si="25"/>
        <v>-45825</v>
      </c>
      <c r="I638" s="6">
        <f t="shared" si="24"/>
        <v>-45825</v>
      </c>
      <c r="J638" s="2" t="s">
        <v>21</v>
      </c>
      <c r="K638" t="s">
        <v>415</v>
      </c>
    </row>
    <row r="639" spans="1:12" x14ac:dyDescent="0.25">
      <c r="A639" s="1">
        <v>40928</v>
      </c>
      <c r="B639" s="2" t="s">
        <v>38</v>
      </c>
      <c r="C639" t="s">
        <v>10</v>
      </c>
      <c r="D639" t="s">
        <v>209</v>
      </c>
      <c r="E639" s="2">
        <v>45825</v>
      </c>
      <c r="F639" s="2" cm="1">
        <f t="array" ref="F639">_xlfn.IFS(B639="Owner Surrender",E639,B639="Stray",E639+6,B639="Stray w/identification",E639+11,B639="Bite",E639+10,B639="Other",Blank)</f>
        <v>45831</v>
      </c>
      <c r="G639" s="2">
        <v>45832</v>
      </c>
      <c r="H639" s="6">
        <f t="shared" si="25"/>
        <v>7</v>
      </c>
      <c r="I639" s="6">
        <f t="shared" si="24"/>
        <v>1</v>
      </c>
      <c r="J639" s="2" t="s">
        <v>31</v>
      </c>
      <c r="K639" t="s">
        <v>414</v>
      </c>
    </row>
    <row r="640" spans="1:12" x14ac:dyDescent="0.25">
      <c r="A640" s="1">
        <v>40931</v>
      </c>
      <c r="B640" s="2" t="s">
        <v>38</v>
      </c>
      <c r="C640" t="s">
        <v>7</v>
      </c>
      <c r="D640" t="s">
        <v>208</v>
      </c>
      <c r="E640" s="2">
        <v>45825</v>
      </c>
      <c r="F640" s="2" cm="1">
        <f t="array" ref="F640">_xlfn.IFS(B640="Owner Surrender",E640,B640="Stray",E640+6,B640="Stray w/identification",E640+11,B640="Bite",E640+10,B640="Other",Blank)</f>
        <v>45831</v>
      </c>
      <c r="G640" s="2">
        <v>45828</v>
      </c>
      <c r="H640" s="6">
        <f t="shared" si="25"/>
        <v>3</v>
      </c>
      <c r="I640" s="6">
        <f t="shared" si="24"/>
        <v>-3</v>
      </c>
      <c r="J640" s="2" t="s">
        <v>8</v>
      </c>
    </row>
    <row r="641" spans="1:12" x14ac:dyDescent="0.25">
      <c r="A641" s="1">
        <v>40932</v>
      </c>
      <c r="B641" s="2" t="s">
        <v>38</v>
      </c>
      <c r="C641" t="s">
        <v>7</v>
      </c>
      <c r="D641" t="s">
        <v>209</v>
      </c>
      <c r="E641" s="2">
        <v>45826</v>
      </c>
      <c r="F641" s="2" cm="1">
        <f t="array" ref="F641">_xlfn.IFS(B641="Owner Surrender",E641,B641="Stray",E641+6,B641="Stray w/identification",E641+11,B641="Bite",E641+10,B641="Other",Blank)</f>
        <v>45832</v>
      </c>
      <c r="G641" s="2">
        <v>45826</v>
      </c>
      <c r="H641" s="6">
        <f t="shared" si="25"/>
        <v>0</v>
      </c>
      <c r="I641" s="6">
        <f t="shared" si="24"/>
        <v>-6</v>
      </c>
      <c r="J641" s="2" t="s">
        <v>31</v>
      </c>
      <c r="K641" t="s">
        <v>413</v>
      </c>
    </row>
    <row r="642" spans="1:12" x14ac:dyDescent="0.25">
      <c r="A642" s="1">
        <v>40933</v>
      </c>
      <c r="B642" s="2" t="s">
        <v>38</v>
      </c>
      <c r="C642" t="s">
        <v>7</v>
      </c>
      <c r="D642" t="s">
        <v>209</v>
      </c>
      <c r="E642" s="2">
        <v>45826</v>
      </c>
      <c r="F642" s="2" cm="1">
        <f t="array" ref="F642">_xlfn.IFS(B642="Owner Surrender",E642,B642="Stray",E642+6,B642="Stray w/identification",E642+11,B642="Bite",E642+10,B642="Other",Blank)</f>
        <v>45832</v>
      </c>
      <c r="G642" s="2">
        <v>45833</v>
      </c>
      <c r="H642" s="6">
        <f t="shared" si="25"/>
        <v>7</v>
      </c>
      <c r="I642" s="6">
        <f t="shared" si="24"/>
        <v>1</v>
      </c>
      <c r="J642" s="2" t="s">
        <v>18</v>
      </c>
      <c r="K642" t="s">
        <v>34</v>
      </c>
    </row>
    <row r="643" spans="1:12" x14ac:dyDescent="0.25">
      <c r="A643" s="1">
        <v>40934</v>
      </c>
      <c r="B643" s="2" t="s">
        <v>36</v>
      </c>
      <c r="C643" t="s">
        <v>7</v>
      </c>
      <c r="D643" t="s">
        <v>211</v>
      </c>
      <c r="E643" s="2">
        <v>45826</v>
      </c>
      <c r="F643" s="2" cm="1">
        <f t="array" ref="F643">_xlfn.IFS(B643="Owner Surrender",E643,B643="Stray",E643+6,B643="Stray w/identification",E643+11,B643="Bite",E643+10,B643="Other",Blank)</f>
        <v>45826</v>
      </c>
      <c r="G643" s="2">
        <v>45826</v>
      </c>
      <c r="H643" s="6">
        <f t="shared" si="25"/>
        <v>0</v>
      </c>
      <c r="I643" s="6">
        <f t="shared" si="24"/>
        <v>0</v>
      </c>
      <c r="J643" s="2" t="s">
        <v>31</v>
      </c>
      <c r="K643" t="s">
        <v>397</v>
      </c>
    </row>
    <row r="644" spans="1:12" x14ac:dyDescent="0.25">
      <c r="A644" s="1">
        <v>40942</v>
      </c>
      <c r="B644" s="2" t="s">
        <v>38</v>
      </c>
      <c r="C644" t="s">
        <v>7</v>
      </c>
      <c r="D644" t="s">
        <v>209</v>
      </c>
      <c r="E644" s="2">
        <v>45827</v>
      </c>
      <c r="F644" s="2" cm="1">
        <f t="array" ref="F644">_xlfn.IFS(B644="Owner Surrender",E644,B644="Stray",E644+6,B644="Stray w/identification",E644+11,B644="Bite",E644+10,B644="Other",Blank)</f>
        <v>45833</v>
      </c>
      <c r="G644" s="2">
        <v>45833</v>
      </c>
      <c r="H644" s="6">
        <f t="shared" si="25"/>
        <v>6</v>
      </c>
      <c r="I644" s="6">
        <f t="shared" si="24"/>
        <v>0</v>
      </c>
      <c r="J644" s="2" t="s">
        <v>18</v>
      </c>
      <c r="K644" t="s">
        <v>34</v>
      </c>
    </row>
    <row r="645" spans="1:12" x14ac:dyDescent="0.25">
      <c r="A645" s="3">
        <v>40945</v>
      </c>
      <c r="B645" s="2" t="s">
        <v>38</v>
      </c>
      <c r="C645" t="s">
        <v>7</v>
      </c>
      <c r="D645" t="s">
        <v>208</v>
      </c>
      <c r="E645" s="2">
        <v>45827</v>
      </c>
      <c r="F645" s="2" cm="1">
        <f t="array" ref="F645">_xlfn.IFS(B645="Owner Surrender",E645,B645="Stray",E645+6,B645="Stray w/identification",E645+11,B645="Bite",E645+10,B645="Other",Blank)</f>
        <v>45833</v>
      </c>
      <c r="G645" s="2">
        <v>45841</v>
      </c>
      <c r="H645" s="6">
        <f t="shared" si="25"/>
        <v>14</v>
      </c>
      <c r="I645" s="6">
        <f t="shared" si="24"/>
        <v>8</v>
      </c>
      <c r="J645" t="s">
        <v>18</v>
      </c>
      <c r="L645" t="s">
        <v>19</v>
      </c>
    </row>
    <row r="646" spans="1:12" x14ac:dyDescent="0.25">
      <c r="A646" s="1">
        <v>40957</v>
      </c>
      <c r="B646" s="2" t="s">
        <v>38</v>
      </c>
      <c r="C646" t="s">
        <v>7</v>
      </c>
      <c r="D646" t="s">
        <v>209</v>
      </c>
      <c r="E646" s="2">
        <v>45828</v>
      </c>
      <c r="F646" s="2" cm="1">
        <f t="array" ref="F646">_xlfn.IFS(B646="Owner Surrender",E646,B646="Stray",E646+6,B646="Stray w/identification",E646+11,B646="Bite",E646+10,B646="Other",Blank)</f>
        <v>45834</v>
      </c>
      <c r="G646" s="2">
        <v>45835</v>
      </c>
      <c r="H646" s="6">
        <f t="shared" si="25"/>
        <v>7</v>
      </c>
      <c r="I646" s="6">
        <f t="shared" si="24"/>
        <v>1</v>
      </c>
      <c r="J646" s="2" t="s">
        <v>31</v>
      </c>
    </row>
    <row r="647" spans="1:12" x14ac:dyDescent="0.25">
      <c r="A647" s="3">
        <v>40958</v>
      </c>
      <c r="B647" s="2" t="s">
        <v>38</v>
      </c>
      <c r="C647" t="s">
        <v>7</v>
      </c>
      <c r="D647" t="s">
        <v>210</v>
      </c>
      <c r="E647" s="2">
        <v>45828</v>
      </c>
      <c r="F647" s="2" cm="1">
        <f t="array" ref="F647">_xlfn.IFS(B647="Owner Surrender",E647,B647="Stray",E647+6,B647="Stray w/identification",E647+11,B647="Bite",E647+10,B647="Other",Blank)</f>
        <v>45834</v>
      </c>
      <c r="G647" s="2">
        <v>45841</v>
      </c>
      <c r="H647" s="6">
        <f t="shared" si="25"/>
        <v>13</v>
      </c>
      <c r="I647" s="6">
        <f t="shared" si="24"/>
        <v>7</v>
      </c>
      <c r="J647" s="2" t="s">
        <v>31</v>
      </c>
    </row>
    <row r="648" spans="1:12" x14ac:dyDescent="0.25">
      <c r="A648" s="1">
        <v>40960</v>
      </c>
      <c r="B648" s="2" t="s">
        <v>36</v>
      </c>
      <c r="C648" t="s">
        <v>7</v>
      </c>
      <c r="D648" t="s">
        <v>209</v>
      </c>
      <c r="E648" s="2">
        <v>45828</v>
      </c>
      <c r="F648" s="2" cm="1">
        <f t="array" ref="F648">_xlfn.IFS(B648="Owner Surrender",E648,B648="Stray",E648+6,B648="Stray w/identification",E648+11,B648="Bite",E648+10,B648="Other",Blank)</f>
        <v>45828</v>
      </c>
      <c r="G648" s="2">
        <v>45828</v>
      </c>
      <c r="H648" s="6">
        <f t="shared" si="25"/>
        <v>0</v>
      </c>
      <c r="I648" s="6">
        <f t="shared" si="24"/>
        <v>0</v>
      </c>
      <c r="J648" s="2" t="s">
        <v>31</v>
      </c>
      <c r="K648" t="s">
        <v>127</v>
      </c>
    </row>
    <row r="649" spans="1:12" x14ac:dyDescent="0.25">
      <c r="A649" s="1">
        <v>40961</v>
      </c>
      <c r="B649" s="2" t="s">
        <v>36</v>
      </c>
      <c r="C649" t="s">
        <v>7</v>
      </c>
      <c r="D649" t="s">
        <v>209</v>
      </c>
      <c r="E649" s="2">
        <v>45828</v>
      </c>
      <c r="F649" s="2" cm="1">
        <f t="array" ref="F649">_xlfn.IFS(B649="Owner Surrender",E649,B649="Stray",E649+6,B649="Stray w/identification",E649+11,B649="Bite",E649+10,B649="Other",Blank)</f>
        <v>45828</v>
      </c>
      <c r="G649" s="2">
        <v>45828</v>
      </c>
      <c r="H649" s="6">
        <f t="shared" si="25"/>
        <v>0</v>
      </c>
      <c r="I649" s="6">
        <f t="shared" si="24"/>
        <v>0</v>
      </c>
      <c r="J649" s="2" t="s">
        <v>31</v>
      </c>
      <c r="K649" t="s">
        <v>127</v>
      </c>
    </row>
    <row r="650" spans="1:12" x14ac:dyDescent="0.25">
      <c r="A650" s="1">
        <v>40962</v>
      </c>
      <c r="B650" s="2" t="s">
        <v>36</v>
      </c>
      <c r="C650" t="s">
        <v>7</v>
      </c>
      <c r="D650" t="s">
        <v>209</v>
      </c>
      <c r="E650" s="2">
        <v>45828</v>
      </c>
      <c r="F650" s="2" cm="1">
        <f t="array" ref="F650">_xlfn.IFS(B650="Owner Surrender",E650,B650="Stray",E650+6,B650="Stray w/identification",E650+11,B650="Bite",E650+10,B650="Other",Blank)</f>
        <v>45828</v>
      </c>
      <c r="G650" s="2">
        <v>45828</v>
      </c>
      <c r="H650" s="6">
        <f t="shared" si="25"/>
        <v>0</v>
      </c>
      <c r="I650" s="6">
        <f t="shared" si="24"/>
        <v>0</v>
      </c>
      <c r="J650" s="2" t="s">
        <v>31</v>
      </c>
      <c r="K650" t="s">
        <v>127</v>
      </c>
    </row>
    <row r="651" spans="1:12" x14ac:dyDescent="0.25">
      <c r="A651" s="3">
        <v>40965</v>
      </c>
      <c r="B651" s="2" t="s">
        <v>180</v>
      </c>
      <c r="C651" t="s">
        <v>7</v>
      </c>
      <c r="D651" t="s">
        <v>210</v>
      </c>
      <c r="E651" s="2">
        <v>45828</v>
      </c>
      <c r="F651" s="2" cm="1">
        <f t="array" ref="F651">_xlfn.IFS(B651="Owner Surrender",E651,B651="Stray",E651+6,B651="Stray w/identification",E651+11,B651="Bite",E651+10,B651="Other",Blank)</f>
        <v>45839</v>
      </c>
      <c r="G651" s="2">
        <v>45839</v>
      </c>
      <c r="H651" s="6">
        <f t="shared" si="25"/>
        <v>11</v>
      </c>
      <c r="I651" s="6">
        <f t="shared" si="24"/>
        <v>0</v>
      </c>
      <c r="J651" s="2" t="s">
        <v>31</v>
      </c>
      <c r="L651" t="s">
        <v>181</v>
      </c>
    </row>
    <row r="652" spans="1:12" x14ac:dyDescent="0.25">
      <c r="A652" s="3">
        <v>40968</v>
      </c>
      <c r="B652" s="2" t="s">
        <v>38</v>
      </c>
      <c r="C652" t="s">
        <v>7</v>
      </c>
      <c r="D652" t="s">
        <v>209</v>
      </c>
      <c r="E652" s="2">
        <v>45829</v>
      </c>
      <c r="F652" s="2" cm="1">
        <f t="array" ref="F652">_xlfn.IFS(B652="Owner Surrender",E652,B652="Stray",E652+6,B652="Stray w/identification",E652+11,B652="Bite",E652+10,B652="Other",Blank)</f>
        <v>45835</v>
      </c>
      <c r="G652" s="2">
        <v>45841</v>
      </c>
      <c r="H652" s="6">
        <f t="shared" si="25"/>
        <v>12</v>
      </c>
      <c r="I652" s="6">
        <f t="shared" si="24"/>
        <v>6</v>
      </c>
      <c r="J652" s="2" t="s">
        <v>31</v>
      </c>
    </row>
    <row r="653" spans="1:12" x14ac:dyDescent="0.25">
      <c r="A653" s="3">
        <v>40969</v>
      </c>
      <c r="B653" s="2" t="s">
        <v>38</v>
      </c>
      <c r="C653" t="s">
        <v>7</v>
      </c>
      <c r="D653" t="s">
        <v>209</v>
      </c>
      <c r="E653" s="2">
        <v>45829</v>
      </c>
      <c r="F653" s="2" cm="1">
        <f t="array" ref="F653">_xlfn.IFS(B653="Owner Surrender",E653,B653="Stray",E653+6,B653="Stray w/identification",E653+11,B653="Bite",E653+10,B653="Other",Blank)</f>
        <v>45835</v>
      </c>
      <c r="G653" s="2">
        <v>45841</v>
      </c>
      <c r="H653" s="6">
        <f t="shared" si="25"/>
        <v>12</v>
      </c>
      <c r="I653" s="6">
        <f t="shared" si="24"/>
        <v>6</v>
      </c>
      <c r="J653" s="2" t="s">
        <v>31</v>
      </c>
    </row>
    <row r="654" spans="1:12" x14ac:dyDescent="0.25">
      <c r="A654" s="3">
        <v>40970</v>
      </c>
      <c r="B654" s="2" t="s">
        <v>38</v>
      </c>
      <c r="C654" t="s">
        <v>7</v>
      </c>
      <c r="D654" t="s">
        <v>209</v>
      </c>
      <c r="E654" s="2">
        <v>45829</v>
      </c>
      <c r="F654" s="2" cm="1">
        <f t="array" ref="F654">_xlfn.IFS(B654="Owner Surrender",E654,B654="Stray",E654+6,B654="Stray w/identification",E654+11,B654="Bite",E654+10,B654="Other",Blank)</f>
        <v>45835</v>
      </c>
      <c r="G654" s="2">
        <v>45841</v>
      </c>
      <c r="H654" s="6">
        <f t="shared" si="25"/>
        <v>12</v>
      </c>
      <c r="I654" s="6">
        <f t="shared" si="24"/>
        <v>6</v>
      </c>
      <c r="J654" s="2" t="s">
        <v>31</v>
      </c>
    </row>
    <row r="655" spans="1:12" x14ac:dyDescent="0.25">
      <c r="A655" s="1">
        <v>40976</v>
      </c>
      <c r="B655" s="2" t="s">
        <v>38</v>
      </c>
      <c r="C655" t="s">
        <v>7</v>
      </c>
      <c r="D655" t="s">
        <v>209</v>
      </c>
      <c r="E655" s="2">
        <v>45830</v>
      </c>
      <c r="F655" s="2" cm="1">
        <f t="array" ref="F655">_xlfn.IFS(B655="Owner Surrender",E655,B655="Stray",E655+6,B655="Stray w/identification",E655+11,B655="Bite",E655+10,B655="Other",Blank)</f>
        <v>45836</v>
      </c>
      <c r="G655" s="2">
        <v>45836</v>
      </c>
      <c r="H655" s="6">
        <f t="shared" si="25"/>
        <v>6</v>
      </c>
      <c r="I655" s="6">
        <f t="shared" si="24"/>
        <v>0</v>
      </c>
      <c r="J655" s="2" t="s">
        <v>11</v>
      </c>
    </row>
    <row r="656" spans="1:12" x14ac:dyDescent="0.25">
      <c r="A656" s="3">
        <v>40977</v>
      </c>
      <c r="B656" s="2" t="s">
        <v>38</v>
      </c>
      <c r="C656" t="s">
        <v>7</v>
      </c>
      <c r="D656" t="s">
        <v>210</v>
      </c>
      <c r="E656" s="2">
        <v>45830</v>
      </c>
      <c r="F656" s="2" cm="1">
        <f t="array" ref="F656">_xlfn.IFS(B656="Owner Surrender",E656,B656="Stray",E656+6,B656="Stray w/identification",E656+11,B656="Bite",E656+10,B656="Other",Blank)</f>
        <v>45836</v>
      </c>
      <c r="G656" s="2">
        <v>45847</v>
      </c>
      <c r="H656" s="6">
        <f t="shared" si="25"/>
        <v>17</v>
      </c>
      <c r="I656" s="6">
        <f t="shared" si="24"/>
        <v>11</v>
      </c>
      <c r="J656" t="s">
        <v>18</v>
      </c>
      <c r="K656" t="s">
        <v>26</v>
      </c>
      <c r="L656" t="s">
        <v>19</v>
      </c>
    </row>
    <row r="657" spans="1:12" x14ac:dyDescent="0.25">
      <c r="A657" s="3">
        <v>40979</v>
      </c>
      <c r="B657" s="2" t="s">
        <v>38</v>
      </c>
      <c r="C657" t="s">
        <v>7</v>
      </c>
      <c r="D657" t="s">
        <v>209</v>
      </c>
      <c r="E657" s="2">
        <v>45830</v>
      </c>
      <c r="F657" s="2" cm="1">
        <f t="array" ref="F657">_xlfn.IFS(B657="Owner Surrender",E657,B657="Stray",E657+6,B657="Stray w/identification",E657+11,B657="Bite",E657+10,B657="Other",Blank)</f>
        <v>45836</v>
      </c>
      <c r="G657" s="2">
        <v>45847</v>
      </c>
      <c r="H657" s="6">
        <f t="shared" si="25"/>
        <v>17</v>
      </c>
      <c r="I657" s="6">
        <f t="shared" si="24"/>
        <v>11</v>
      </c>
      <c r="J657" t="s">
        <v>18</v>
      </c>
      <c r="L657" t="s">
        <v>19</v>
      </c>
    </row>
    <row r="658" spans="1:12" x14ac:dyDescent="0.25">
      <c r="A658" s="3">
        <v>40980</v>
      </c>
      <c r="B658" s="2" t="s">
        <v>38</v>
      </c>
      <c r="C658" t="s">
        <v>7</v>
      </c>
      <c r="D658" t="s">
        <v>209</v>
      </c>
      <c r="E658" s="2">
        <v>45830</v>
      </c>
      <c r="F658" s="2" cm="1">
        <f t="array" ref="F658">_xlfn.IFS(B658="Owner Surrender",E658,B658="Stray",E658+6,B658="Stray w/identification",E658+11,B658="Bite",E658+10,B658="Other",Blank)</f>
        <v>45836</v>
      </c>
      <c r="G658" s="2">
        <v>45847</v>
      </c>
      <c r="H658" s="6">
        <f t="shared" si="25"/>
        <v>17</v>
      </c>
      <c r="I658" s="6">
        <f t="shared" si="24"/>
        <v>11</v>
      </c>
      <c r="J658" t="s">
        <v>18</v>
      </c>
      <c r="L658" t="s">
        <v>19</v>
      </c>
    </row>
    <row r="659" spans="1:12" x14ac:dyDescent="0.25">
      <c r="A659" s="3">
        <v>40981</v>
      </c>
      <c r="B659" s="2" t="s">
        <v>38</v>
      </c>
      <c r="C659" t="s">
        <v>7</v>
      </c>
      <c r="D659" t="s">
        <v>209</v>
      </c>
      <c r="E659" s="2">
        <v>45830</v>
      </c>
      <c r="F659" s="2" cm="1">
        <f t="array" ref="F659">_xlfn.IFS(B659="Owner Surrender",E659,B659="Stray",E659+6,B659="Stray w/identification",E659+11,B659="Bite",E659+10,B659="Other",Blank)</f>
        <v>45836</v>
      </c>
      <c r="G659" s="2">
        <v>45847</v>
      </c>
      <c r="H659" s="6">
        <f t="shared" si="25"/>
        <v>17</v>
      </c>
      <c r="I659" s="6">
        <f t="shared" si="24"/>
        <v>11</v>
      </c>
      <c r="J659" t="s">
        <v>18</v>
      </c>
      <c r="K659" t="s">
        <v>182</v>
      </c>
      <c r="L659" t="s">
        <v>19</v>
      </c>
    </row>
    <row r="660" spans="1:12" x14ac:dyDescent="0.25">
      <c r="A660" s="3">
        <v>40988</v>
      </c>
      <c r="B660" s="2" t="s">
        <v>36</v>
      </c>
      <c r="C660" t="s">
        <v>7</v>
      </c>
      <c r="D660" t="s">
        <v>209</v>
      </c>
      <c r="E660" s="2">
        <v>45832</v>
      </c>
      <c r="F660" s="2" cm="1">
        <f t="array" ref="F660">_xlfn.IFS(B660="Owner Surrender",E660,B660="Stray",E660+6,B660="Stray w/identification",E660+11,B660="Bite",E660+10,B660="Other",Blank)</f>
        <v>45832</v>
      </c>
      <c r="G660" s="2">
        <v>45841</v>
      </c>
      <c r="H660" s="6">
        <f t="shared" si="25"/>
        <v>9</v>
      </c>
      <c r="I660" s="6">
        <f t="shared" si="24"/>
        <v>9</v>
      </c>
      <c r="J660" s="2" t="s">
        <v>31</v>
      </c>
    </row>
    <row r="661" spans="1:12" x14ac:dyDescent="0.25">
      <c r="A661" s="3">
        <v>40991</v>
      </c>
      <c r="B661" s="2" t="s">
        <v>38</v>
      </c>
      <c r="C661" t="s">
        <v>7</v>
      </c>
      <c r="D661" t="s">
        <v>209</v>
      </c>
      <c r="E661" s="2">
        <v>45833</v>
      </c>
      <c r="F661" s="2" cm="1">
        <f t="array" ref="F661">_xlfn.IFS(B661="Owner Surrender",E661,B661="Stray",E661+6,B661="Stray w/identification",E661+11,B661="Bite",E661+10,B661="Other",Blank)</f>
        <v>45839</v>
      </c>
      <c r="G661" s="2">
        <v>45841</v>
      </c>
      <c r="H661" s="6">
        <f t="shared" si="25"/>
        <v>8</v>
      </c>
      <c r="I661" s="6">
        <f t="shared" si="24"/>
        <v>2</v>
      </c>
      <c r="J661" s="2" t="s">
        <v>31</v>
      </c>
      <c r="L661" t="s">
        <v>34</v>
      </c>
    </row>
    <row r="662" spans="1:12" x14ac:dyDescent="0.25">
      <c r="A662" s="3">
        <v>40995</v>
      </c>
      <c r="B662" s="2" t="s">
        <v>38</v>
      </c>
      <c r="C662" t="s">
        <v>7</v>
      </c>
      <c r="D662" t="s">
        <v>209</v>
      </c>
      <c r="E662" s="2">
        <v>45833</v>
      </c>
      <c r="F662" s="2" cm="1">
        <f t="array" ref="F662">_xlfn.IFS(B662="Owner Surrender",E662,B662="Stray",E662+6,B662="Stray w/identification",E662+11,B662="Bite",E662+10,B662="Other",Blank)</f>
        <v>45839</v>
      </c>
      <c r="G662" s="2">
        <v>45841</v>
      </c>
      <c r="H662" s="6">
        <f t="shared" si="25"/>
        <v>8</v>
      </c>
      <c r="I662" s="6">
        <f t="shared" si="24"/>
        <v>2</v>
      </c>
      <c r="J662" s="2" t="s">
        <v>31</v>
      </c>
    </row>
    <row r="663" spans="1:12" x14ac:dyDescent="0.25">
      <c r="A663" s="3">
        <v>40996</v>
      </c>
      <c r="B663" s="2" t="s">
        <v>36</v>
      </c>
      <c r="C663" t="s">
        <v>7</v>
      </c>
      <c r="D663" t="s">
        <v>208</v>
      </c>
      <c r="E663" s="2">
        <v>45833</v>
      </c>
      <c r="F663" s="2" cm="1">
        <f t="array" ref="F663">_xlfn.IFS(B663="Owner Surrender",E663,B663="Stray",E663+6,B663="Stray w/identification",E663+11,B663="Bite",E663+10,B663="Other",Blank)</f>
        <v>45833</v>
      </c>
      <c r="G663" s="2">
        <v>45839</v>
      </c>
      <c r="H663" s="6">
        <f t="shared" si="25"/>
        <v>6</v>
      </c>
      <c r="I663" s="6">
        <f t="shared" si="24"/>
        <v>6</v>
      </c>
      <c r="J663" s="2" t="s">
        <v>31</v>
      </c>
      <c r="K663" s="2" t="s">
        <v>117</v>
      </c>
    </row>
    <row r="664" spans="1:12" x14ac:dyDescent="0.25">
      <c r="A664" s="3">
        <v>41001</v>
      </c>
      <c r="B664" s="2" t="s">
        <v>38</v>
      </c>
      <c r="C664" t="s">
        <v>10</v>
      </c>
      <c r="D664" t="s">
        <v>208</v>
      </c>
      <c r="E664" s="2">
        <v>45834</v>
      </c>
      <c r="F664" s="2" cm="1">
        <f t="array" ref="F664">_xlfn.IFS(B664="Owner Surrender",E664,B664="Stray",E664+6,B664="Stray w/identification",E664+11,B664="Bite",E664+10,B664="Other",Blank)</f>
        <v>45840</v>
      </c>
      <c r="G664" s="2">
        <v>45866</v>
      </c>
      <c r="H664" s="6">
        <f t="shared" si="25"/>
        <v>32</v>
      </c>
      <c r="I664" s="6">
        <f t="shared" si="24"/>
        <v>26</v>
      </c>
      <c r="J664" s="2" t="s">
        <v>11</v>
      </c>
      <c r="K664" t="s">
        <v>20</v>
      </c>
    </row>
    <row r="665" spans="1:12" x14ac:dyDescent="0.25">
      <c r="A665" s="3">
        <v>41004</v>
      </c>
      <c r="B665" s="2" t="s">
        <v>36</v>
      </c>
      <c r="C665" t="s">
        <v>7</v>
      </c>
      <c r="D665" t="s">
        <v>209</v>
      </c>
      <c r="E665" s="2">
        <v>45834</v>
      </c>
      <c r="F665" s="2" cm="1">
        <f t="array" ref="F665">_xlfn.IFS(B665="Owner Surrender",E665,B665="Stray",E665+6,B665="Stray w/identification",E665+11,B665="Bite",E665+10,B665="Other",Blank)</f>
        <v>45834</v>
      </c>
      <c r="G665" s="2">
        <v>45841</v>
      </c>
      <c r="H665" s="6">
        <f t="shared" si="25"/>
        <v>7</v>
      </c>
      <c r="I665" s="6">
        <f t="shared" si="24"/>
        <v>7</v>
      </c>
      <c r="J665" s="2" t="s">
        <v>31</v>
      </c>
    </row>
    <row r="666" spans="1:12" x14ac:dyDescent="0.25">
      <c r="A666" s="3">
        <v>41005</v>
      </c>
      <c r="B666" s="2" t="s">
        <v>36</v>
      </c>
      <c r="C666" t="s">
        <v>7</v>
      </c>
      <c r="D666" t="s">
        <v>209</v>
      </c>
      <c r="E666" s="2">
        <v>45834</v>
      </c>
      <c r="F666" s="2" cm="1">
        <f t="array" ref="F666">_xlfn.IFS(B666="Owner Surrender",E666,B666="Stray",E666+6,B666="Stray w/identification",E666+11,B666="Bite",E666+10,B666="Other",Blank)</f>
        <v>45834</v>
      </c>
      <c r="G666" s="2">
        <v>45841</v>
      </c>
      <c r="H666" s="6">
        <f t="shared" si="25"/>
        <v>7</v>
      </c>
      <c r="I666" s="6">
        <f t="shared" si="24"/>
        <v>7</v>
      </c>
      <c r="J666" s="2" t="s">
        <v>31</v>
      </c>
    </row>
    <row r="667" spans="1:12" x14ac:dyDescent="0.25">
      <c r="A667" s="3">
        <v>41006</v>
      </c>
      <c r="B667" s="2" t="s">
        <v>36</v>
      </c>
      <c r="C667" t="s">
        <v>7</v>
      </c>
      <c r="D667" t="s">
        <v>209</v>
      </c>
      <c r="E667" s="2">
        <v>45834</v>
      </c>
      <c r="F667" s="2" cm="1">
        <f t="array" ref="F667">_xlfn.IFS(B667="Owner Surrender",E667,B667="Stray",E667+6,B667="Stray w/identification",E667+11,B667="Bite",E667+10,B667="Other",Blank)</f>
        <v>45834</v>
      </c>
      <c r="G667" s="2">
        <v>45841</v>
      </c>
      <c r="H667" s="6">
        <f t="shared" si="25"/>
        <v>7</v>
      </c>
      <c r="I667" s="6">
        <f t="shared" si="24"/>
        <v>7</v>
      </c>
      <c r="J667" s="2" t="s">
        <v>31</v>
      </c>
    </row>
    <row r="668" spans="1:12" x14ac:dyDescent="0.25">
      <c r="A668" s="3">
        <v>41012</v>
      </c>
      <c r="B668" s="2" t="s">
        <v>36</v>
      </c>
      <c r="C668" t="s">
        <v>7</v>
      </c>
      <c r="D668" t="s">
        <v>209</v>
      </c>
      <c r="E668" s="2">
        <v>45834</v>
      </c>
      <c r="F668" s="2" cm="1">
        <f t="array" ref="F668">_xlfn.IFS(B668="Owner Surrender",E668,B668="Stray",E668+6,B668="Stray w/identification",E668+11,B668="Bite",E668+10,B668="Other",Blank)</f>
        <v>45834</v>
      </c>
      <c r="G668" s="2">
        <v>45838</v>
      </c>
      <c r="H668" s="6">
        <f t="shared" si="25"/>
        <v>4</v>
      </c>
      <c r="I668" s="6">
        <f t="shared" si="24"/>
        <v>4</v>
      </c>
      <c r="J668" t="s">
        <v>31</v>
      </c>
    </row>
    <row r="669" spans="1:12" x14ac:dyDescent="0.25">
      <c r="A669" s="3">
        <v>41014</v>
      </c>
      <c r="B669" s="2" t="s">
        <v>38</v>
      </c>
      <c r="C669" t="s">
        <v>7</v>
      </c>
      <c r="D669" t="s">
        <v>209</v>
      </c>
      <c r="E669" s="2">
        <v>45835</v>
      </c>
      <c r="F669" s="2" cm="1">
        <f t="array" ref="F669">_xlfn.IFS(B669="Owner Surrender",E669,B669="Stray",E669+6,B669="Stray w/identification",E669+11,B669="Bite",E669+10,B669="Other",Blank)</f>
        <v>45841</v>
      </c>
      <c r="G669" s="2">
        <v>45846</v>
      </c>
      <c r="H669" s="6">
        <f t="shared" si="25"/>
        <v>11</v>
      </c>
      <c r="I669" s="6">
        <f t="shared" si="24"/>
        <v>5</v>
      </c>
      <c r="J669" s="2" t="s">
        <v>31</v>
      </c>
    </row>
    <row r="670" spans="1:12" x14ac:dyDescent="0.25">
      <c r="A670" s="3">
        <v>41015</v>
      </c>
      <c r="B670" s="2" t="s">
        <v>38</v>
      </c>
      <c r="C670" t="s">
        <v>7</v>
      </c>
      <c r="D670" t="s">
        <v>209</v>
      </c>
      <c r="E670" s="2">
        <v>45835</v>
      </c>
      <c r="F670" s="2" cm="1">
        <f t="array" ref="F670">_xlfn.IFS(B670="Owner Surrender",E670,B670="Stray",E670+6,B670="Stray w/identification",E670+11,B670="Bite",E670+10,B670="Other",Blank)</f>
        <v>45841</v>
      </c>
      <c r="G670" s="2">
        <v>45846</v>
      </c>
      <c r="H670" s="6">
        <f t="shared" si="25"/>
        <v>11</v>
      </c>
      <c r="I670" s="6">
        <f t="shared" si="24"/>
        <v>5</v>
      </c>
      <c r="J670" s="2" t="s">
        <v>31</v>
      </c>
    </row>
    <row r="671" spans="1:12" x14ac:dyDescent="0.25">
      <c r="A671" s="3">
        <v>41016</v>
      </c>
      <c r="B671" s="2" t="s">
        <v>38</v>
      </c>
      <c r="C671" t="s">
        <v>7</v>
      </c>
      <c r="D671" t="s">
        <v>208</v>
      </c>
      <c r="E671" s="2">
        <v>45832</v>
      </c>
      <c r="F671" s="2" cm="1">
        <f t="array" ref="F671">_xlfn.IFS(B671="Owner Surrender",E671,B671="Stray",E671+6,B671="Stray w/identification",E671+11,B671="Bite",E671+10,B671="Other",Blank)</f>
        <v>45838</v>
      </c>
      <c r="G671" s="2">
        <v>45841</v>
      </c>
      <c r="H671" s="6">
        <f t="shared" si="25"/>
        <v>9</v>
      </c>
      <c r="I671" s="6">
        <f t="shared" si="24"/>
        <v>3</v>
      </c>
      <c r="J671" s="2" t="s">
        <v>31</v>
      </c>
    </row>
    <row r="672" spans="1:12" x14ac:dyDescent="0.25">
      <c r="A672" s="1">
        <v>41017</v>
      </c>
      <c r="B672" s="2" t="s">
        <v>36</v>
      </c>
      <c r="C672" t="s">
        <v>7</v>
      </c>
      <c r="D672" t="s">
        <v>208</v>
      </c>
      <c r="E672" s="2">
        <v>45835</v>
      </c>
      <c r="F672" s="2" cm="1">
        <f t="array" ref="F672">_xlfn.IFS(B672="Owner Surrender",E672,B672="Stray",E672+6,B672="Stray w/identification",E672+11,B672="Bite",E672+10,B672="Other",Blank)</f>
        <v>45835</v>
      </c>
      <c r="H672" s="6">
        <f t="shared" si="25"/>
        <v>-45835</v>
      </c>
      <c r="I672" s="6">
        <f t="shared" si="24"/>
        <v>-45835</v>
      </c>
      <c r="J672" s="2" t="s">
        <v>21</v>
      </c>
      <c r="K672" t="s">
        <v>412</v>
      </c>
    </row>
    <row r="673" spans="1:12" x14ac:dyDescent="0.25">
      <c r="A673" s="3">
        <v>41018</v>
      </c>
      <c r="B673" s="2" t="s">
        <v>36</v>
      </c>
      <c r="C673" t="s">
        <v>7</v>
      </c>
      <c r="D673" t="s">
        <v>209</v>
      </c>
      <c r="E673" s="2">
        <v>45835</v>
      </c>
      <c r="F673" s="2" cm="1">
        <f t="array" ref="F673">_xlfn.IFS(B673="Owner Surrender",E673,B673="Stray",E673+6,B673="Stray w/identification",E673+11,B673="Bite",E673+10,B673="Other",Blank)</f>
        <v>45835</v>
      </c>
      <c r="G673" s="2">
        <v>45856</v>
      </c>
      <c r="H673" s="6">
        <f t="shared" si="25"/>
        <v>21</v>
      </c>
      <c r="I673" s="6">
        <f t="shared" si="24"/>
        <v>21</v>
      </c>
      <c r="J673" s="2" t="s">
        <v>11</v>
      </c>
    </row>
    <row r="674" spans="1:12" x14ac:dyDescent="0.25">
      <c r="A674" s="3">
        <v>41019</v>
      </c>
      <c r="B674" s="2" t="s">
        <v>36</v>
      </c>
      <c r="C674" t="s">
        <v>7</v>
      </c>
      <c r="D674" t="s">
        <v>208</v>
      </c>
      <c r="E674" s="2">
        <v>45835</v>
      </c>
      <c r="F674" s="2" cm="1">
        <f t="array" ref="F674">_xlfn.IFS(B674="Owner Surrender",E674,B674="Stray",E674+6,B674="Stray w/identification",E674+11,B674="Bite",E674+10,B674="Other",Blank)</f>
        <v>45835</v>
      </c>
      <c r="G674" s="2">
        <v>45852</v>
      </c>
      <c r="H674" s="6">
        <f t="shared" si="25"/>
        <v>17</v>
      </c>
      <c r="I674" s="6">
        <f t="shared" si="24"/>
        <v>17</v>
      </c>
      <c r="J674" t="s">
        <v>31</v>
      </c>
      <c r="K674" t="s">
        <v>32</v>
      </c>
    </row>
    <row r="675" spans="1:12" x14ac:dyDescent="0.25">
      <c r="A675" s="3">
        <v>41021</v>
      </c>
      <c r="B675" s="2" t="s">
        <v>38</v>
      </c>
      <c r="C675" t="s">
        <v>7</v>
      </c>
      <c r="D675" t="s">
        <v>209</v>
      </c>
      <c r="E675" s="2">
        <v>45836</v>
      </c>
      <c r="F675" s="2" cm="1">
        <f t="array" ref="F675">_xlfn.IFS(B675="Owner Surrender",E675,B675="Stray",E675+6,B675="Stray w/identification",E675+11,B675="Bite",E675+10,B675="Other",Blank)</f>
        <v>45842</v>
      </c>
      <c r="G675" s="2">
        <v>45841</v>
      </c>
      <c r="H675" s="6">
        <f t="shared" si="25"/>
        <v>5</v>
      </c>
      <c r="I675" s="6">
        <f t="shared" si="24"/>
        <v>-1</v>
      </c>
      <c r="J675" s="2" t="s">
        <v>31</v>
      </c>
      <c r="L675" t="s">
        <v>119</v>
      </c>
    </row>
    <row r="676" spans="1:12" x14ac:dyDescent="0.25">
      <c r="A676" s="3">
        <v>41027</v>
      </c>
      <c r="B676" s="2" t="s">
        <v>36</v>
      </c>
      <c r="C676" t="s">
        <v>10</v>
      </c>
      <c r="D676" t="s">
        <v>208</v>
      </c>
      <c r="E676" s="2">
        <v>45836</v>
      </c>
      <c r="F676" s="2" cm="1">
        <f t="array" ref="F676">_xlfn.IFS(B676="Owner Surrender",E676,B676="Stray",E676+6,B676="Stray w/identification",E676+11,B676="Bite",E676+10,B676="Other",Blank)</f>
        <v>45836</v>
      </c>
      <c r="G676" s="2">
        <v>45838</v>
      </c>
      <c r="H676" s="6">
        <f t="shared" si="25"/>
        <v>2</v>
      </c>
      <c r="I676" s="6">
        <f t="shared" si="24"/>
        <v>2</v>
      </c>
      <c r="J676" s="2" t="s">
        <v>31</v>
      </c>
    </row>
    <row r="677" spans="1:12" x14ac:dyDescent="0.25">
      <c r="A677" s="3">
        <v>41030</v>
      </c>
      <c r="B677" s="2" t="s">
        <v>36</v>
      </c>
      <c r="C677" t="s">
        <v>7</v>
      </c>
      <c r="D677" t="s">
        <v>210</v>
      </c>
      <c r="E677" s="2">
        <v>45836</v>
      </c>
      <c r="F677" s="2" cm="1">
        <f t="array" ref="F677">_xlfn.IFS(B677="Owner Surrender",E677,B677="Stray",E677+6,B677="Stray w/identification",E677+11,B677="Bite",E677+10,B677="Other",Blank)</f>
        <v>45836</v>
      </c>
      <c r="G677" s="2">
        <v>45841</v>
      </c>
      <c r="H677" s="6">
        <f t="shared" si="25"/>
        <v>5</v>
      </c>
      <c r="I677" s="6">
        <f t="shared" si="24"/>
        <v>5</v>
      </c>
      <c r="J677" s="2" t="s">
        <v>31</v>
      </c>
    </row>
    <row r="678" spans="1:12" x14ac:dyDescent="0.25">
      <c r="A678" s="3">
        <v>41031</v>
      </c>
      <c r="B678" s="2" t="s">
        <v>36</v>
      </c>
      <c r="C678" t="s">
        <v>7</v>
      </c>
      <c r="D678" t="s">
        <v>208</v>
      </c>
      <c r="E678" s="2">
        <v>45836</v>
      </c>
      <c r="F678" s="2" cm="1">
        <f t="array" ref="F678">_xlfn.IFS(B678="Owner Surrender",E678,B678="Stray",E678+6,B678="Stray w/identification",E678+11,B678="Bite",E678+10,B678="Other",Blank)</f>
        <v>45836</v>
      </c>
      <c r="G678" s="2">
        <v>45863</v>
      </c>
      <c r="H678" s="6">
        <f t="shared" si="25"/>
        <v>27</v>
      </c>
      <c r="I678" s="6">
        <f t="shared" ref="I678:I728" si="26">G678-F678</f>
        <v>27</v>
      </c>
      <c r="J678" s="2" t="s">
        <v>11</v>
      </c>
      <c r="K678" t="s">
        <v>17</v>
      </c>
    </row>
    <row r="679" spans="1:12" x14ac:dyDescent="0.25">
      <c r="A679" s="3">
        <v>41037</v>
      </c>
      <c r="B679" s="2" t="s">
        <v>36</v>
      </c>
      <c r="C679" t="s">
        <v>7</v>
      </c>
      <c r="D679" t="s">
        <v>210</v>
      </c>
      <c r="E679" s="2">
        <v>45836</v>
      </c>
      <c r="F679" s="2" cm="1">
        <f t="array" ref="F679">_xlfn.IFS(B679="Owner Surrender",E679,B679="Stray",E679+6,B679="Stray w/identification",E679+11,B679="Bite",E679+10,B679="Other",Blank)</f>
        <v>45836</v>
      </c>
      <c r="G679" s="2">
        <v>45841</v>
      </c>
      <c r="H679" s="6">
        <f t="shared" si="25"/>
        <v>5</v>
      </c>
      <c r="I679" s="6">
        <f t="shared" si="26"/>
        <v>5</v>
      </c>
      <c r="J679" s="2" t="s">
        <v>31</v>
      </c>
    </row>
    <row r="680" spans="1:12" x14ac:dyDescent="0.25">
      <c r="A680" s="3">
        <v>41040</v>
      </c>
      <c r="B680" s="2" t="s">
        <v>36</v>
      </c>
      <c r="C680" t="s">
        <v>7</v>
      </c>
      <c r="D680" t="s">
        <v>208</v>
      </c>
      <c r="E680" s="2">
        <v>45836</v>
      </c>
      <c r="F680" s="2" cm="1">
        <f t="array" ref="F680">_xlfn.IFS(B680="Owner Surrender",E680,B680="Stray",E680+6,B680="Stray w/identification",E680+11,B680="Bite",E680+10,B680="Other",Blank)</f>
        <v>45836</v>
      </c>
      <c r="G680" s="2">
        <v>45838</v>
      </c>
      <c r="H680" s="6">
        <f t="shared" ref="H680:H728" si="27">+G680-E680</f>
        <v>2</v>
      </c>
      <c r="I680" s="6">
        <f t="shared" si="26"/>
        <v>2</v>
      </c>
      <c r="J680" s="2" t="s">
        <v>31</v>
      </c>
    </row>
    <row r="681" spans="1:12" x14ac:dyDescent="0.25">
      <c r="A681" s="3">
        <v>41041</v>
      </c>
      <c r="B681" s="2" t="s">
        <v>36</v>
      </c>
      <c r="C681" t="s">
        <v>7</v>
      </c>
      <c r="D681" t="s">
        <v>209</v>
      </c>
      <c r="E681" s="2">
        <v>45836</v>
      </c>
      <c r="F681" s="2" cm="1">
        <f t="array" ref="F681">_xlfn.IFS(B681="Owner Surrender",E681,B681="Stray",E681+6,B681="Stray w/identification",E681+11,B681="Bite",E681+10,B681="Other",Blank)</f>
        <v>45836</v>
      </c>
      <c r="G681" s="2">
        <v>45841</v>
      </c>
      <c r="H681" s="6">
        <f t="shared" si="27"/>
        <v>5</v>
      </c>
      <c r="I681" s="6">
        <f t="shared" si="26"/>
        <v>5</v>
      </c>
      <c r="J681" s="2" t="s">
        <v>31</v>
      </c>
    </row>
    <row r="682" spans="1:12" x14ac:dyDescent="0.25">
      <c r="A682" s="3">
        <v>41042</v>
      </c>
      <c r="B682" s="2" t="s">
        <v>36</v>
      </c>
      <c r="C682" t="s">
        <v>7</v>
      </c>
      <c r="D682" t="s">
        <v>209</v>
      </c>
      <c r="E682" s="2">
        <v>45836</v>
      </c>
      <c r="F682" s="2" cm="1">
        <f t="array" ref="F682">_xlfn.IFS(B682="Owner Surrender",E682,B682="Stray",E682+6,B682="Stray w/identification",E682+11,B682="Bite",E682+10,B682="Other",Blank)</f>
        <v>45836</v>
      </c>
      <c r="G682" s="2">
        <v>45841</v>
      </c>
      <c r="H682" s="6">
        <f t="shared" si="27"/>
        <v>5</v>
      </c>
      <c r="I682" s="6">
        <f t="shared" si="26"/>
        <v>5</v>
      </c>
      <c r="J682" s="2" t="s">
        <v>31</v>
      </c>
    </row>
    <row r="683" spans="1:12" x14ac:dyDescent="0.25">
      <c r="A683" s="1">
        <v>41044</v>
      </c>
      <c r="B683" s="2" t="s">
        <v>38</v>
      </c>
      <c r="C683" t="s">
        <v>7</v>
      </c>
      <c r="D683" t="s">
        <v>209</v>
      </c>
      <c r="E683" s="2">
        <v>45837</v>
      </c>
      <c r="F683" s="2" cm="1">
        <f t="array" ref="F683">_xlfn.IFS(B683="Owner Surrender",E683,B683="Stray",E683+6,B683="Stray w/identification",E683+11,B683="Bite",E683+10,B683="Other",Blank)</f>
        <v>45843</v>
      </c>
      <c r="H683" s="6">
        <f t="shared" si="27"/>
        <v>-45837</v>
      </c>
      <c r="I683" s="6">
        <f t="shared" si="26"/>
        <v>-45843</v>
      </c>
      <c r="J683" s="2" t="s">
        <v>21</v>
      </c>
      <c r="K683" t="s">
        <v>242</v>
      </c>
    </row>
    <row r="684" spans="1:12" x14ac:dyDescent="0.25">
      <c r="A684" s="3">
        <v>41049</v>
      </c>
      <c r="B684" s="2" t="s">
        <v>38</v>
      </c>
      <c r="C684" t="s">
        <v>7</v>
      </c>
      <c r="D684" t="s">
        <v>209</v>
      </c>
      <c r="E684" s="2">
        <v>45838</v>
      </c>
      <c r="F684" s="2" cm="1">
        <f t="array" ref="F684">_xlfn.IFS(B684="Owner Surrender",E684,B684="Stray",E684+6,B684="Stray w/identification",E684+11,B684="Bite",E684+10,B684="Other",Blank)</f>
        <v>45844</v>
      </c>
      <c r="G684" s="2">
        <v>45852</v>
      </c>
      <c r="H684" s="6">
        <f t="shared" si="27"/>
        <v>14</v>
      </c>
      <c r="I684" s="6">
        <f t="shared" si="26"/>
        <v>8</v>
      </c>
      <c r="J684" s="2" t="s">
        <v>31</v>
      </c>
      <c r="K684" s="2" t="s">
        <v>123</v>
      </c>
    </row>
    <row r="685" spans="1:12" x14ac:dyDescent="0.25">
      <c r="A685" s="3">
        <v>41057</v>
      </c>
      <c r="B685" s="2" t="s">
        <v>38</v>
      </c>
      <c r="C685" t="s">
        <v>15</v>
      </c>
      <c r="D685" t="s">
        <v>209</v>
      </c>
      <c r="E685" s="2">
        <v>45838</v>
      </c>
      <c r="F685" s="2" cm="1">
        <f t="array" ref="F685">_xlfn.IFS(B685="Owner Surrender",E685,B685="Stray",E685+6,B685="Stray w/identification",E685+11,B685="Bite",E685+10,B685="Other",Blank)</f>
        <v>45844</v>
      </c>
      <c r="G685" s="2">
        <v>45838</v>
      </c>
      <c r="H685" s="6">
        <f t="shared" si="27"/>
        <v>0</v>
      </c>
      <c r="I685" s="6">
        <f t="shared" si="26"/>
        <v>-6</v>
      </c>
      <c r="J685" s="2" t="s">
        <v>31</v>
      </c>
      <c r="L685" t="s">
        <v>124</v>
      </c>
    </row>
    <row r="686" spans="1:12" x14ac:dyDescent="0.25">
      <c r="A686" s="3">
        <v>41058</v>
      </c>
      <c r="B686" s="2" t="s">
        <v>38</v>
      </c>
      <c r="C686" t="s">
        <v>7</v>
      </c>
      <c r="D686" t="s">
        <v>208</v>
      </c>
      <c r="E686" s="2">
        <v>45839</v>
      </c>
      <c r="F686" s="2" cm="1">
        <f t="array" ref="F686">_xlfn.IFS(B686="Owner Surrender",E686,B686="Stray",E686+6,B686="Stray w/identification",E686+11,B686="Bite",E686+10,B686="Other",Blank)</f>
        <v>45845</v>
      </c>
      <c r="G686" s="2">
        <v>45847</v>
      </c>
      <c r="H686" s="6">
        <f t="shared" si="27"/>
        <v>8</v>
      </c>
      <c r="I686" s="6">
        <f t="shared" si="26"/>
        <v>2</v>
      </c>
      <c r="J686" t="s">
        <v>31</v>
      </c>
      <c r="L686" t="s">
        <v>34</v>
      </c>
    </row>
    <row r="687" spans="1:12" x14ac:dyDescent="0.25">
      <c r="A687" s="3">
        <v>41059</v>
      </c>
      <c r="B687" s="2" t="s">
        <v>38</v>
      </c>
      <c r="C687" t="s">
        <v>10</v>
      </c>
      <c r="D687" t="s">
        <v>209</v>
      </c>
      <c r="E687" s="2">
        <v>45839</v>
      </c>
      <c r="F687" s="2" cm="1">
        <f t="array" ref="F687">_xlfn.IFS(B687="Owner Surrender",E687,B687="Stray",E687+6,B687="Stray w/identification",E687+11,B687="Bite",E687+10,B687="Other",Blank)</f>
        <v>45845</v>
      </c>
      <c r="G687" s="2">
        <v>45847</v>
      </c>
      <c r="H687" s="6">
        <f t="shared" si="27"/>
        <v>8</v>
      </c>
      <c r="I687" s="6">
        <f t="shared" si="26"/>
        <v>2</v>
      </c>
      <c r="J687" s="2" t="s">
        <v>31</v>
      </c>
      <c r="L687" t="s">
        <v>34</v>
      </c>
    </row>
    <row r="688" spans="1:12" x14ac:dyDescent="0.25">
      <c r="A688" s="3">
        <v>41060</v>
      </c>
      <c r="B688" s="2" t="s">
        <v>38</v>
      </c>
      <c r="C688" t="s">
        <v>10</v>
      </c>
      <c r="D688" t="s">
        <v>209</v>
      </c>
      <c r="E688" s="2">
        <v>45839</v>
      </c>
      <c r="F688" s="2" cm="1">
        <f t="array" ref="F688">_xlfn.IFS(B688="Owner Surrender",E688,B688="Stray",E688+6,B688="Stray w/identification",E688+11,B688="Bite",E688+10,B688="Other",Blank)</f>
        <v>45845</v>
      </c>
      <c r="G688" s="2">
        <v>45847</v>
      </c>
      <c r="H688" s="6">
        <f t="shared" si="27"/>
        <v>8</v>
      </c>
      <c r="I688" s="6">
        <f t="shared" si="26"/>
        <v>2</v>
      </c>
      <c r="J688" s="2" t="s">
        <v>31</v>
      </c>
      <c r="L688" t="s">
        <v>34</v>
      </c>
    </row>
    <row r="689" spans="1:12" x14ac:dyDescent="0.25">
      <c r="A689" s="3">
        <v>41061</v>
      </c>
      <c r="B689" s="2" t="s">
        <v>38</v>
      </c>
      <c r="C689" t="s">
        <v>10</v>
      </c>
      <c r="D689" t="s">
        <v>209</v>
      </c>
      <c r="E689" s="2">
        <v>45839</v>
      </c>
      <c r="F689" s="2" cm="1">
        <f t="array" ref="F689">_xlfn.IFS(B689="Owner Surrender",E689,B689="Stray",E689+6,B689="Stray w/identification",E689+11,B689="Bite",E689+10,B689="Other",Blank)</f>
        <v>45845</v>
      </c>
      <c r="G689" s="2">
        <v>45846</v>
      </c>
      <c r="H689" s="6">
        <f t="shared" si="27"/>
        <v>7</v>
      </c>
      <c r="I689" s="6">
        <f t="shared" si="26"/>
        <v>1</v>
      </c>
      <c r="J689" s="2" t="s">
        <v>31</v>
      </c>
    </row>
    <row r="690" spans="1:12" x14ac:dyDescent="0.25">
      <c r="A690" s="3">
        <v>41062</v>
      </c>
      <c r="B690" s="2" t="s">
        <v>38</v>
      </c>
      <c r="C690" t="s">
        <v>10</v>
      </c>
      <c r="D690" t="s">
        <v>209</v>
      </c>
      <c r="E690" s="2">
        <v>45839</v>
      </c>
      <c r="F690" s="2" cm="1">
        <f t="array" ref="F690">_xlfn.IFS(B690="Owner Surrender",E690,B690="Stray",E690+6,B690="Stray w/identification",E690+11,B690="Bite",E690+10,B690="Other",Blank)</f>
        <v>45845</v>
      </c>
      <c r="G690" s="2">
        <v>45846</v>
      </c>
      <c r="H690" s="6">
        <f t="shared" si="27"/>
        <v>7</v>
      </c>
      <c r="I690" s="6">
        <f t="shared" si="26"/>
        <v>1</v>
      </c>
      <c r="J690" s="2" t="s">
        <v>31</v>
      </c>
    </row>
    <row r="691" spans="1:12" x14ac:dyDescent="0.25">
      <c r="A691" s="3">
        <v>41069</v>
      </c>
      <c r="B691" s="2" t="s">
        <v>36</v>
      </c>
      <c r="C691" t="s">
        <v>7</v>
      </c>
      <c r="D691" t="s">
        <v>208</v>
      </c>
      <c r="E691" s="2">
        <v>45839</v>
      </c>
      <c r="F691" s="2" cm="1">
        <f t="array" ref="F691">_xlfn.IFS(B691="Owner Surrender",E691,B691="Stray",E691+6,B691="Stray w/identification",E691+11,B691="Bite",E691+10,B691="Other",Blank)</f>
        <v>45839</v>
      </c>
      <c r="G691" s="2">
        <v>45841</v>
      </c>
      <c r="H691" s="6">
        <f t="shared" si="27"/>
        <v>2</v>
      </c>
      <c r="I691" s="6">
        <f t="shared" si="26"/>
        <v>2</v>
      </c>
      <c r="J691" t="s">
        <v>18</v>
      </c>
      <c r="K691" t="s">
        <v>183</v>
      </c>
      <c r="L691" t="s">
        <v>19</v>
      </c>
    </row>
    <row r="692" spans="1:12" x14ac:dyDescent="0.25">
      <c r="A692" s="3">
        <v>41070</v>
      </c>
      <c r="B692" s="2" t="s">
        <v>36</v>
      </c>
      <c r="C692" t="s">
        <v>7</v>
      </c>
      <c r="D692" t="s">
        <v>209</v>
      </c>
      <c r="E692" s="2">
        <v>45839</v>
      </c>
      <c r="F692" s="2" cm="1">
        <f t="array" ref="F692">_xlfn.IFS(B692="Owner Surrender",E692,B692="Stray",E692+6,B692="Stray w/identification",E692+11,B692="Bite",E692+10,B692="Other",Blank)</f>
        <v>45839</v>
      </c>
      <c r="G692" s="2">
        <v>45841</v>
      </c>
      <c r="H692" s="6">
        <f t="shared" si="27"/>
        <v>2</v>
      </c>
      <c r="I692" s="6">
        <f t="shared" si="26"/>
        <v>2</v>
      </c>
      <c r="J692" t="s">
        <v>18</v>
      </c>
      <c r="K692" t="s">
        <v>27</v>
      </c>
      <c r="L692" t="s">
        <v>19</v>
      </c>
    </row>
    <row r="693" spans="1:12" x14ac:dyDescent="0.25">
      <c r="A693" s="3">
        <v>41071</v>
      </c>
      <c r="B693" s="2" t="s">
        <v>36</v>
      </c>
      <c r="C693" t="s">
        <v>7</v>
      </c>
      <c r="D693" t="s">
        <v>209</v>
      </c>
      <c r="E693" s="2">
        <v>45839</v>
      </c>
      <c r="F693" s="2" cm="1">
        <f t="array" ref="F693">_xlfn.IFS(B693="Owner Surrender",E693,B693="Stray",E693+6,B693="Stray w/identification",E693+11,B693="Bite",E693+10,B693="Other",Blank)</f>
        <v>45839</v>
      </c>
      <c r="G693" s="2">
        <v>45841</v>
      </c>
      <c r="H693" s="6">
        <f t="shared" si="27"/>
        <v>2</v>
      </c>
      <c r="I693" s="6">
        <f t="shared" si="26"/>
        <v>2</v>
      </c>
      <c r="J693" t="s">
        <v>18</v>
      </c>
      <c r="L693" t="s">
        <v>19</v>
      </c>
    </row>
    <row r="694" spans="1:12" x14ac:dyDescent="0.25">
      <c r="A694" s="3">
        <v>41072</v>
      </c>
      <c r="B694" s="2" t="s">
        <v>36</v>
      </c>
      <c r="C694" t="s">
        <v>7</v>
      </c>
      <c r="D694" t="s">
        <v>209</v>
      </c>
      <c r="E694" s="2">
        <v>45839</v>
      </c>
      <c r="F694" s="2" cm="1">
        <f t="array" ref="F694">_xlfn.IFS(B694="Owner Surrender",E694,B694="Stray",E694+6,B694="Stray w/identification",E694+11,B694="Bite",E694+10,B694="Other",Blank)</f>
        <v>45839</v>
      </c>
      <c r="G694" s="2">
        <v>45841</v>
      </c>
      <c r="H694" s="6">
        <f t="shared" si="27"/>
        <v>2</v>
      </c>
      <c r="I694" s="6">
        <f t="shared" si="26"/>
        <v>2</v>
      </c>
      <c r="J694" t="s">
        <v>18</v>
      </c>
      <c r="L694" t="s">
        <v>19</v>
      </c>
    </row>
    <row r="695" spans="1:12" x14ac:dyDescent="0.25">
      <c r="A695" s="3">
        <v>41084</v>
      </c>
      <c r="B695" s="2" t="s">
        <v>36</v>
      </c>
      <c r="C695" t="s">
        <v>7</v>
      </c>
      <c r="D695" t="s">
        <v>208</v>
      </c>
      <c r="E695" s="2">
        <v>45840</v>
      </c>
      <c r="F695" s="2" cm="1">
        <f t="array" ref="F695">_xlfn.IFS(B695="Owner Surrender",E695,B695="Stray",E695+6,B695="Stray w/identification",E695+11,B695="Bite",E695+10,B695="Other",Blank)</f>
        <v>45840</v>
      </c>
      <c r="G695" s="2">
        <v>45852</v>
      </c>
      <c r="H695" s="6">
        <f t="shared" si="27"/>
        <v>12</v>
      </c>
      <c r="I695" s="6">
        <f t="shared" si="26"/>
        <v>12</v>
      </c>
      <c r="J695" t="s">
        <v>31</v>
      </c>
      <c r="L695" t="s">
        <v>36</v>
      </c>
    </row>
    <row r="696" spans="1:12" x14ac:dyDescent="0.25">
      <c r="A696" s="3">
        <v>41086</v>
      </c>
      <c r="B696" s="2" t="s">
        <v>38</v>
      </c>
      <c r="C696" t="s">
        <v>7</v>
      </c>
      <c r="D696" t="s">
        <v>209</v>
      </c>
      <c r="E696" s="2">
        <v>45840</v>
      </c>
      <c r="F696" s="2" cm="1">
        <f t="array" ref="F696">_xlfn.IFS(B696="Owner Surrender",E696,B696="Stray",E696+6,B696="Stray w/identification",E696+11,B696="Bite",E696+10,B696="Other",Blank)</f>
        <v>45846</v>
      </c>
      <c r="G696" s="2">
        <v>45852</v>
      </c>
      <c r="H696" s="6">
        <f t="shared" si="27"/>
        <v>12</v>
      </c>
      <c r="I696" s="6">
        <f t="shared" si="26"/>
        <v>6</v>
      </c>
      <c r="J696" s="2" t="s">
        <v>31</v>
      </c>
      <c r="K696" s="2" t="s">
        <v>125</v>
      </c>
    </row>
    <row r="697" spans="1:12" x14ac:dyDescent="0.25">
      <c r="A697" s="3">
        <v>41090</v>
      </c>
      <c r="B697" s="2" t="s">
        <v>38</v>
      </c>
      <c r="C697" t="s">
        <v>7</v>
      </c>
      <c r="D697" t="s">
        <v>209</v>
      </c>
      <c r="E697" s="2">
        <v>45839</v>
      </c>
      <c r="F697" s="2" cm="1">
        <f t="array" ref="F697">_xlfn.IFS(B697="Owner Surrender",E697,B697="Stray",E697+6,B697="Stray w/identification",E697+11,B697="Bite",E697+10,B697="Other",Blank)</f>
        <v>45845</v>
      </c>
      <c r="G697" s="2">
        <v>45847</v>
      </c>
      <c r="H697" s="6">
        <f t="shared" si="27"/>
        <v>8</v>
      </c>
      <c r="I697" s="6">
        <f t="shared" si="26"/>
        <v>2</v>
      </c>
      <c r="J697" s="2" t="s">
        <v>31</v>
      </c>
    </row>
    <row r="698" spans="1:12" x14ac:dyDescent="0.25">
      <c r="A698" s="3">
        <v>41091</v>
      </c>
      <c r="B698" s="2" t="s">
        <v>38</v>
      </c>
      <c r="C698" t="s">
        <v>7</v>
      </c>
      <c r="D698" t="s">
        <v>209</v>
      </c>
      <c r="E698" s="2">
        <v>45839</v>
      </c>
      <c r="F698" s="2" cm="1">
        <f t="array" ref="F698">_xlfn.IFS(B698="Owner Surrender",E698,B698="Stray",E698+6,B698="Stray w/identification",E698+11,B698="Bite",E698+10,B698="Other",Blank)</f>
        <v>45845</v>
      </c>
      <c r="G698" s="2">
        <v>45847</v>
      </c>
      <c r="H698" s="6">
        <f t="shared" si="27"/>
        <v>8</v>
      </c>
      <c r="I698" s="6">
        <f t="shared" si="26"/>
        <v>2</v>
      </c>
      <c r="J698" s="2" t="s">
        <v>31</v>
      </c>
    </row>
    <row r="699" spans="1:12" x14ac:dyDescent="0.25">
      <c r="A699" s="3">
        <v>41092</v>
      </c>
      <c r="B699" s="2" t="s">
        <v>38</v>
      </c>
      <c r="C699" t="s">
        <v>7</v>
      </c>
      <c r="D699" t="s">
        <v>208</v>
      </c>
      <c r="E699" s="2">
        <v>45839</v>
      </c>
      <c r="F699" s="2" cm="1">
        <f t="array" ref="F699">_xlfn.IFS(B699="Owner Surrender",E699,B699="Stray",E699+6,B699="Stray w/identification",E699+11,B699="Bite",E699+10,B699="Other",Blank)</f>
        <v>45845</v>
      </c>
      <c r="G699" s="2">
        <v>45847</v>
      </c>
      <c r="H699" s="6">
        <f t="shared" si="27"/>
        <v>8</v>
      </c>
      <c r="I699" s="6">
        <f t="shared" si="26"/>
        <v>2</v>
      </c>
      <c r="J699" t="s">
        <v>31</v>
      </c>
      <c r="L699" t="s">
        <v>38</v>
      </c>
    </row>
    <row r="700" spans="1:12" x14ac:dyDescent="0.25">
      <c r="A700" s="3">
        <v>41094</v>
      </c>
      <c r="B700" s="2" t="s">
        <v>38</v>
      </c>
      <c r="C700" t="s">
        <v>7</v>
      </c>
      <c r="D700" t="s">
        <v>209</v>
      </c>
      <c r="E700" s="2">
        <v>45840</v>
      </c>
      <c r="F700" s="2" cm="1">
        <f t="array" ref="F700">_xlfn.IFS(B700="Owner Surrender",E700,B700="Stray",E700+6,B700="Stray w/identification",E700+11,B700="Bite",E700+10,B700="Other",Blank)</f>
        <v>45846</v>
      </c>
      <c r="G700" s="2">
        <v>45847</v>
      </c>
      <c r="H700" s="6">
        <f t="shared" si="27"/>
        <v>7</v>
      </c>
      <c r="I700" s="6">
        <f t="shared" si="26"/>
        <v>1</v>
      </c>
      <c r="J700" s="2" t="s">
        <v>31</v>
      </c>
      <c r="L700" t="s">
        <v>34</v>
      </c>
    </row>
    <row r="701" spans="1:12" x14ac:dyDescent="0.25">
      <c r="A701" s="3">
        <v>41095</v>
      </c>
      <c r="B701" s="2" t="s">
        <v>38</v>
      </c>
      <c r="C701" t="s">
        <v>7</v>
      </c>
      <c r="D701" t="s">
        <v>209</v>
      </c>
      <c r="E701" s="2">
        <v>45840</v>
      </c>
      <c r="F701" s="2" cm="1">
        <f t="array" ref="F701">_xlfn.IFS(B701="Owner Surrender",E701,B701="Stray",E701+6,B701="Stray w/identification",E701+11,B701="Bite",E701+10,B701="Other",Blank)</f>
        <v>45846</v>
      </c>
      <c r="G701" s="2">
        <v>45847</v>
      </c>
      <c r="H701" s="6">
        <f t="shared" si="27"/>
        <v>7</v>
      </c>
      <c r="I701" s="6">
        <f t="shared" si="26"/>
        <v>1</v>
      </c>
      <c r="J701" s="2" t="s">
        <v>31</v>
      </c>
      <c r="L701" t="s">
        <v>34</v>
      </c>
    </row>
    <row r="702" spans="1:12" x14ac:dyDescent="0.25">
      <c r="A702" s="3">
        <v>41096</v>
      </c>
      <c r="B702" s="2" t="s">
        <v>38</v>
      </c>
      <c r="C702" t="s">
        <v>7</v>
      </c>
      <c r="D702" t="s">
        <v>209</v>
      </c>
      <c r="E702" s="2">
        <v>45840</v>
      </c>
      <c r="F702" s="2" cm="1">
        <f t="array" ref="F702">_xlfn.IFS(B702="Owner Surrender",E702,B702="Stray",E702+6,B702="Stray w/identification",E702+11,B702="Bite",E702+10,B702="Other",Blank)</f>
        <v>45846</v>
      </c>
      <c r="G702" s="2">
        <v>45847</v>
      </c>
      <c r="H702" s="6">
        <f t="shared" si="27"/>
        <v>7</v>
      </c>
      <c r="I702" s="6">
        <f t="shared" si="26"/>
        <v>1</v>
      </c>
      <c r="J702" s="2" t="s">
        <v>31</v>
      </c>
      <c r="L702" t="s">
        <v>34</v>
      </c>
    </row>
    <row r="703" spans="1:12" x14ac:dyDescent="0.25">
      <c r="A703" s="3">
        <v>41097</v>
      </c>
      <c r="B703" s="2" t="s">
        <v>38</v>
      </c>
      <c r="C703" t="s">
        <v>7</v>
      </c>
      <c r="D703" t="s">
        <v>209</v>
      </c>
      <c r="E703" s="2">
        <v>45840</v>
      </c>
      <c r="F703" s="2" cm="1">
        <f t="array" ref="F703">_xlfn.IFS(B703="Owner Surrender",E703,B703="Stray",E703+6,B703="Stray w/identification",E703+11,B703="Bite",E703+10,B703="Other",Blank)</f>
        <v>45846</v>
      </c>
      <c r="G703" s="2">
        <v>45847</v>
      </c>
      <c r="H703" s="6">
        <f t="shared" si="27"/>
        <v>7</v>
      </c>
      <c r="I703" s="6">
        <f t="shared" si="26"/>
        <v>1</v>
      </c>
      <c r="J703" s="2" t="s">
        <v>31</v>
      </c>
      <c r="L703" t="s">
        <v>34</v>
      </c>
    </row>
    <row r="704" spans="1:12" x14ac:dyDescent="0.25">
      <c r="A704" s="3">
        <v>41098</v>
      </c>
      <c r="B704" s="2" t="s">
        <v>38</v>
      </c>
      <c r="C704" t="s">
        <v>7</v>
      </c>
      <c r="D704" t="s">
        <v>209</v>
      </c>
      <c r="E704" s="2">
        <v>45840</v>
      </c>
      <c r="F704" s="2" cm="1">
        <f t="array" ref="F704">_xlfn.IFS(B704="Owner Surrender",E704,B704="Stray",E704+6,B704="Stray w/identification",E704+11,B704="Bite",E704+10,B704="Other",Blank)</f>
        <v>45846</v>
      </c>
      <c r="G704" s="2">
        <v>45847</v>
      </c>
      <c r="H704" s="6">
        <f t="shared" si="27"/>
        <v>7</v>
      </c>
      <c r="I704" s="6">
        <f t="shared" si="26"/>
        <v>1</v>
      </c>
      <c r="J704" s="2" t="s">
        <v>31</v>
      </c>
      <c r="L704" t="s">
        <v>34</v>
      </c>
    </row>
    <row r="705" spans="1:12" x14ac:dyDescent="0.25">
      <c r="A705" s="3">
        <v>41099</v>
      </c>
      <c r="B705" s="2" t="s">
        <v>38</v>
      </c>
      <c r="C705" t="s">
        <v>7</v>
      </c>
      <c r="D705" t="s">
        <v>209</v>
      </c>
      <c r="E705" s="2">
        <v>45841</v>
      </c>
      <c r="F705" s="2" cm="1">
        <f t="array" ref="F705">_xlfn.IFS(B705="Owner Surrender",E705,B705="Stray",E705+6,B705="Stray w/identification",E705+11,B705="Bite",E705+10,B705="Other",Blank)</f>
        <v>45847</v>
      </c>
      <c r="G705" s="2">
        <v>45841</v>
      </c>
      <c r="H705" s="6">
        <f t="shared" si="27"/>
        <v>0</v>
      </c>
      <c r="I705" s="6">
        <f t="shared" si="26"/>
        <v>-6</v>
      </c>
      <c r="J705" t="s">
        <v>18</v>
      </c>
      <c r="L705" t="s">
        <v>19</v>
      </c>
    </row>
    <row r="706" spans="1:12" x14ac:dyDescent="0.25">
      <c r="A706" s="3">
        <v>41100</v>
      </c>
      <c r="B706" s="2" t="s">
        <v>38</v>
      </c>
      <c r="C706" t="s">
        <v>7</v>
      </c>
      <c r="D706" t="s">
        <v>209</v>
      </c>
      <c r="E706" s="2">
        <v>45841</v>
      </c>
      <c r="F706" s="2" cm="1">
        <f t="array" ref="F706">_xlfn.IFS(B706="Owner Surrender",E706,B706="Stray",E706+6,B706="Stray w/identification",E706+11,B706="Bite",E706+10,B706="Other",Blank)</f>
        <v>45847</v>
      </c>
      <c r="G706" s="2">
        <v>45841</v>
      </c>
      <c r="H706" s="6">
        <f t="shared" si="27"/>
        <v>0</v>
      </c>
      <c r="I706" s="6">
        <f t="shared" si="26"/>
        <v>-6</v>
      </c>
      <c r="J706" t="s">
        <v>18</v>
      </c>
      <c r="L706" t="s">
        <v>19</v>
      </c>
    </row>
    <row r="707" spans="1:12" x14ac:dyDescent="0.25">
      <c r="A707" s="3">
        <v>41101</v>
      </c>
      <c r="B707" s="2" t="s">
        <v>38</v>
      </c>
      <c r="C707" t="s">
        <v>7</v>
      </c>
      <c r="D707" t="s">
        <v>209</v>
      </c>
      <c r="E707" s="2">
        <v>45841</v>
      </c>
      <c r="F707" s="2" cm="1">
        <f t="array" ref="F707">_xlfn.IFS(B707="Owner Surrender",E707,B707="Stray",E707+6,B707="Stray w/identification",E707+11,B707="Bite",E707+10,B707="Other",Blank)</f>
        <v>45847</v>
      </c>
      <c r="G707" s="2">
        <v>45841</v>
      </c>
      <c r="H707" s="6">
        <f t="shared" si="27"/>
        <v>0</v>
      </c>
      <c r="I707" s="6">
        <f t="shared" si="26"/>
        <v>-6</v>
      </c>
      <c r="J707" t="s">
        <v>18</v>
      </c>
      <c r="L707" t="s">
        <v>19</v>
      </c>
    </row>
    <row r="708" spans="1:12" x14ac:dyDescent="0.25">
      <c r="A708" s="3">
        <v>41102</v>
      </c>
      <c r="B708" s="2" t="s">
        <v>38</v>
      </c>
      <c r="C708" t="s">
        <v>7</v>
      </c>
      <c r="D708" t="s">
        <v>209</v>
      </c>
      <c r="E708" s="2">
        <v>45841</v>
      </c>
      <c r="F708" s="2" cm="1">
        <f t="array" ref="F708">_xlfn.IFS(B708="Owner Surrender",E708,B708="Stray",E708+6,B708="Stray w/identification",E708+11,B708="Bite",E708+10,B708="Other",Blank)</f>
        <v>45847</v>
      </c>
      <c r="G708" s="2">
        <v>45841</v>
      </c>
      <c r="H708" s="6">
        <f t="shared" si="27"/>
        <v>0</v>
      </c>
      <c r="I708" s="6">
        <f t="shared" si="26"/>
        <v>-6</v>
      </c>
      <c r="J708" t="s">
        <v>18</v>
      </c>
      <c r="L708" t="s">
        <v>19</v>
      </c>
    </row>
    <row r="709" spans="1:12" x14ac:dyDescent="0.25">
      <c r="A709" s="3">
        <v>41103</v>
      </c>
      <c r="B709" s="2" t="s">
        <v>38</v>
      </c>
      <c r="C709" t="s">
        <v>7</v>
      </c>
      <c r="D709" t="s">
        <v>209</v>
      </c>
      <c r="E709" s="2">
        <v>45841</v>
      </c>
      <c r="F709" s="2" cm="1">
        <f t="array" ref="F709">_xlfn.IFS(B709="Owner Surrender",E709,B709="Stray",E709+6,B709="Stray w/identification",E709+11,B709="Bite",E709+10,B709="Other",Blank)</f>
        <v>45847</v>
      </c>
      <c r="G709" s="2">
        <v>45841</v>
      </c>
      <c r="H709" s="6">
        <f t="shared" si="27"/>
        <v>0</v>
      </c>
      <c r="I709" s="6">
        <f t="shared" si="26"/>
        <v>-6</v>
      </c>
      <c r="J709" t="s">
        <v>18</v>
      </c>
      <c r="L709" t="s">
        <v>19</v>
      </c>
    </row>
    <row r="710" spans="1:12" x14ac:dyDescent="0.25">
      <c r="A710" s="3">
        <v>41104</v>
      </c>
      <c r="B710" s="2" t="s">
        <v>38</v>
      </c>
      <c r="C710" t="s">
        <v>7</v>
      </c>
      <c r="D710" t="s">
        <v>209</v>
      </c>
      <c r="E710" s="2">
        <v>45841</v>
      </c>
      <c r="F710" s="2" cm="1">
        <f t="array" ref="F710">_xlfn.IFS(B710="Owner Surrender",E710,B710="Stray",E710+6,B710="Stray w/identification",E710+11,B710="Bite",E710+10,B710="Other",Blank)</f>
        <v>45847</v>
      </c>
      <c r="G710" s="2">
        <v>45841</v>
      </c>
      <c r="H710" s="6">
        <f t="shared" si="27"/>
        <v>0</v>
      </c>
      <c r="I710" s="6">
        <f t="shared" si="26"/>
        <v>-6</v>
      </c>
      <c r="J710" t="s">
        <v>18</v>
      </c>
      <c r="L710" t="s">
        <v>19</v>
      </c>
    </row>
    <row r="711" spans="1:12" x14ac:dyDescent="0.25">
      <c r="A711" s="3">
        <v>41105</v>
      </c>
      <c r="B711" s="2" t="s">
        <v>38</v>
      </c>
      <c r="C711" t="s">
        <v>7</v>
      </c>
      <c r="D711" t="s">
        <v>209</v>
      </c>
      <c r="E711" s="2">
        <v>45841</v>
      </c>
      <c r="F711" s="2" cm="1">
        <f t="array" ref="F711">_xlfn.IFS(B711="Owner Surrender",E711,B711="Stray",E711+6,B711="Stray w/identification",E711+11,B711="Bite",E711+10,B711="Other",Blank)</f>
        <v>45847</v>
      </c>
      <c r="G711" s="2">
        <v>45841</v>
      </c>
      <c r="H711" s="6">
        <f t="shared" si="27"/>
        <v>0</v>
      </c>
      <c r="I711" s="6">
        <f t="shared" si="26"/>
        <v>-6</v>
      </c>
      <c r="J711" t="s">
        <v>18</v>
      </c>
      <c r="L711" t="s">
        <v>19</v>
      </c>
    </row>
    <row r="712" spans="1:12" x14ac:dyDescent="0.25">
      <c r="A712" s="3">
        <v>41106</v>
      </c>
      <c r="B712" s="2" t="s">
        <v>38</v>
      </c>
      <c r="C712" t="s">
        <v>7</v>
      </c>
      <c r="D712" t="s">
        <v>209</v>
      </c>
      <c r="E712" s="2">
        <v>45841</v>
      </c>
      <c r="F712" s="2" cm="1">
        <f t="array" ref="F712">_xlfn.IFS(B712="Owner Surrender",E712,B712="Stray",E712+6,B712="Stray w/identification",E712+11,B712="Bite",E712+10,B712="Other",Blank)</f>
        <v>45847</v>
      </c>
      <c r="G712" s="2">
        <v>45841</v>
      </c>
      <c r="H712" s="6">
        <f t="shared" si="27"/>
        <v>0</v>
      </c>
      <c r="I712" s="6">
        <f t="shared" si="26"/>
        <v>-6</v>
      </c>
      <c r="J712" t="s">
        <v>18</v>
      </c>
      <c r="L712" t="s">
        <v>19</v>
      </c>
    </row>
    <row r="713" spans="1:12" x14ac:dyDescent="0.25">
      <c r="A713" s="3">
        <v>41107</v>
      </c>
      <c r="B713" s="2" t="s">
        <v>38</v>
      </c>
      <c r="C713" t="s">
        <v>7</v>
      </c>
      <c r="D713" t="s">
        <v>209</v>
      </c>
      <c r="E713" s="2">
        <v>45841</v>
      </c>
      <c r="F713" s="2" cm="1">
        <f t="array" ref="F713">_xlfn.IFS(B713="Owner Surrender",E713,B713="Stray",E713+6,B713="Stray w/identification",E713+11,B713="Bite",E713+10,B713="Other",Blank)</f>
        <v>45847</v>
      </c>
      <c r="G713" s="2">
        <v>45841</v>
      </c>
      <c r="H713" s="6">
        <f t="shared" si="27"/>
        <v>0</v>
      </c>
      <c r="I713" s="6">
        <f t="shared" si="26"/>
        <v>-6</v>
      </c>
      <c r="J713" t="s">
        <v>18</v>
      </c>
      <c r="L713" t="s">
        <v>19</v>
      </c>
    </row>
    <row r="714" spans="1:12" x14ac:dyDescent="0.25">
      <c r="A714" s="3">
        <v>41108</v>
      </c>
      <c r="B714" s="2" t="s">
        <v>38</v>
      </c>
      <c r="C714" t="s">
        <v>7</v>
      </c>
      <c r="D714" t="s">
        <v>209</v>
      </c>
      <c r="E714" s="2">
        <v>45840</v>
      </c>
      <c r="F714" s="2" cm="1">
        <f t="array" ref="F714">_xlfn.IFS(B714="Owner Surrender",E714,B714="Stray",E714+6,B714="Stray w/identification",E714+11,B714="Bite",E714+10,B714="Other",Blank)</f>
        <v>45846</v>
      </c>
      <c r="G714" s="2">
        <v>45841</v>
      </c>
      <c r="H714" s="6">
        <f t="shared" si="27"/>
        <v>1</v>
      </c>
      <c r="I714" s="6">
        <f t="shared" si="26"/>
        <v>-5</v>
      </c>
      <c r="J714" t="s">
        <v>28</v>
      </c>
      <c r="L714" t="s">
        <v>29</v>
      </c>
    </row>
    <row r="715" spans="1:12" x14ac:dyDescent="0.25">
      <c r="A715" s="3">
        <v>41109</v>
      </c>
      <c r="B715" s="2" t="s">
        <v>38</v>
      </c>
      <c r="C715" t="s">
        <v>7</v>
      </c>
      <c r="D715" t="s">
        <v>209</v>
      </c>
      <c r="E715" s="2">
        <v>45840</v>
      </c>
      <c r="F715" s="2" cm="1">
        <f t="array" ref="F715">_xlfn.IFS(B715="Owner Surrender",E715,B715="Stray",E715+6,B715="Stray w/identification",E715+11,B715="Bite",E715+10,B715="Other",Blank)</f>
        <v>45846</v>
      </c>
      <c r="G715" s="2">
        <v>45841</v>
      </c>
      <c r="H715" s="6">
        <f t="shared" si="27"/>
        <v>1</v>
      </c>
      <c r="I715" s="6">
        <f t="shared" si="26"/>
        <v>-5</v>
      </c>
      <c r="J715" t="s">
        <v>28</v>
      </c>
      <c r="L715" t="s">
        <v>29</v>
      </c>
    </row>
    <row r="716" spans="1:12" x14ac:dyDescent="0.25">
      <c r="A716" s="3">
        <v>41115</v>
      </c>
      <c r="B716" s="2" t="s">
        <v>38</v>
      </c>
      <c r="C716" t="s">
        <v>7</v>
      </c>
      <c r="D716" t="s">
        <v>209</v>
      </c>
      <c r="E716" s="2">
        <v>45842</v>
      </c>
      <c r="F716" s="2" cm="1">
        <f t="array" ref="F716">_xlfn.IFS(B716="Owner Surrender",E716,B716="Stray",E716+6,B716="Stray w/identification",E716+11,B716="Bite",E716+10,B716="Other",Blank)</f>
        <v>45848</v>
      </c>
      <c r="G716" s="2">
        <v>45852</v>
      </c>
      <c r="H716" s="6">
        <f t="shared" si="27"/>
        <v>10</v>
      </c>
      <c r="I716" s="6">
        <f t="shared" si="26"/>
        <v>4</v>
      </c>
      <c r="J716" t="s">
        <v>31</v>
      </c>
    </row>
    <row r="717" spans="1:12" x14ac:dyDescent="0.25">
      <c r="A717" s="3">
        <v>41116</v>
      </c>
      <c r="B717" s="2" t="s">
        <v>38</v>
      </c>
      <c r="C717" t="s">
        <v>7</v>
      </c>
      <c r="D717" t="s">
        <v>208</v>
      </c>
      <c r="E717" s="2">
        <v>45842</v>
      </c>
      <c r="F717" s="2" cm="1">
        <f t="array" ref="F717">_xlfn.IFS(B717="Owner Surrender",E717,B717="Stray",E717+6,B717="Stray w/identification",E717+11,B717="Bite",E717+10,B717="Other",Blank)</f>
        <v>45848</v>
      </c>
      <c r="G717" s="2">
        <v>45852</v>
      </c>
      <c r="H717" s="6">
        <f t="shared" si="27"/>
        <v>10</v>
      </c>
      <c r="I717" s="6">
        <f t="shared" si="26"/>
        <v>4</v>
      </c>
      <c r="J717" t="s">
        <v>31</v>
      </c>
    </row>
    <row r="718" spans="1:12" x14ac:dyDescent="0.25">
      <c r="A718" s="3">
        <v>41119</v>
      </c>
      <c r="B718" s="2" t="s">
        <v>38</v>
      </c>
      <c r="C718" t="s">
        <v>15</v>
      </c>
      <c r="D718" t="s">
        <v>208</v>
      </c>
      <c r="E718" s="2">
        <v>45843</v>
      </c>
      <c r="F718" s="2" cm="1">
        <f t="array" ref="F718">_xlfn.IFS(B718="Owner Surrender",E718,B718="Stray",E718+6,B718="Stray w/identification",E718+11,B718="Bite",E718+10,B718="Other",Blank)</f>
        <v>45849</v>
      </c>
      <c r="G718" s="2">
        <v>45845</v>
      </c>
      <c r="H718" s="6">
        <f t="shared" si="27"/>
        <v>2</v>
      </c>
      <c r="I718" s="6">
        <f t="shared" si="26"/>
        <v>-4</v>
      </c>
      <c r="J718" s="2" t="s">
        <v>31</v>
      </c>
      <c r="L718" t="s">
        <v>127</v>
      </c>
    </row>
    <row r="719" spans="1:12" x14ac:dyDescent="0.25">
      <c r="A719" s="3">
        <v>41120</v>
      </c>
      <c r="B719" s="2" t="s">
        <v>38</v>
      </c>
      <c r="C719" t="s">
        <v>15</v>
      </c>
      <c r="D719" t="s">
        <v>209</v>
      </c>
      <c r="E719" s="2">
        <v>45843</v>
      </c>
      <c r="F719" s="2" cm="1">
        <f t="array" ref="F719">_xlfn.IFS(B719="Owner Surrender",E719,B719="Stray",E719+6,B719="Stray w/identification",E719+11,B719="Bite",E719+10,B719="Other",Blank)</f>
        <v>45849</v>
      </c>
      <c r="G719" s="2">
        <v>45845</v>
      </c>
      <c r="H719" s="6">
        <f t="shared" si="27"/>
        <v>2</v>
      </c>
      <c r="I719" s="6">
        <f t="shared" si="26"/>
        <v>-4</v>
      </c>
      <c r="J719" s="2" t="s">
        <v>31</v>
      </c>
      <c r="L719" t="s">
        <v>128</v>
      </c>
    </row>
    <row r="720" spans="1:12" x14ac:dyDescent="0.25">
      <c r="A720" s="3">
        <v>41121</v>
      </c>
      <c r="B720" s="2" t="s">
        <v>38</v>
      </c>
      <c r="C720" t="s">
        <v>15</v>
      </c>
      <c r="D720" t="s">
        <v>209</v>
      </c>
      <c r="E720" s="2">
        <v>45843</v>
      </c>
      <c r="F720" s="2" cm="1">
        <f t="array" ref="F720">_xlfn.IFS(B720="Owner Surrender",E720,B720="Stray",E720+6,B720="Stray w/identification",E720+11,B720="Bite",E720+10,B720="Other",Blank)</f>
        <v>45849</v>
      </c>
      <c r="G720" s="2">
        <v>45845</v>
      </c>
      <c r="H720" s="6">
        <f t="shared" si="27"/>
        <v>2</v>
      </c>
      <c r="I720" s="6">
        <f t="shared" si="26"/>
        <v>-4</v>
      </c>
      <c r="J720" s="2" t="s">
        <v>31</v>
      </c>
      <c r="L720" t="s">
        <v>128</v>
      </c>
    </row>
    <row r="721" spans="1:12" x14ac:dyDescent="0.25">
      <c r="A721" s="3">
        <v>41122</v>
      </c>
      <c r="B721" s="2" t="s">
        <v>38</v>
      </c>
      <c r="C721" t="s">
        <v>15</v>
      </c>
      <c r="D721" t="s">
        <v>209</v>
      </c>
      <c r="E721" s="2">
        <v>45843</v>
      </c>
      <c r="F721" s="2" cm="1">
        <f t="array" ref="F721">_xlfn.IFS(B721="Owner Surrender",E721,B721="Stray",E721+6,B721="Stray w/identification",E721+11,B721="Bite",E721+10,B721="Other",Blank)</f>
        <v>45849</v>
      </c>
      <c r="G721" s="2">
        <v>45845</v>
      </c>
      <c r="H721" s="6">
        <f t="shared" si="27"/>
        <v>2</v>
      </c>
      <c r="I721" s="6">
        <f t="shared" si="26"/>
        <v>-4</v>
      </c>
      <c r="J721" s="2" t="s">
        <v>31</v>
      </c>
      <c r="L721" t="s">
        <v>129</v>
      </c>
    </row>
    <row r="722" spans="1:12" x14ac:dyDescent="0.25">
      <c r="A722" s="3">
        <v>41127</v>
      </c>
      <c r="B722" s="2" t="s">
        <v>38</v>
      </c>
      <c r="C722" t="s">
        <v>7</v>
      </c>
      <c r="D722" t="s">
        <v>209</v>
      </c>
      <c r="E722" s="2">
        <v>45843</v>
      </c>
      <c r="F722" s="2" cm="1">
        <f t="array" ref="F722">_xlfn.IFS(B722="Owner Surrender",E722,B722="Stray",E722+6,B722="Stray w/identification",E722+11,B722="Bite",E722+10,B722="Other",Blank)</f>
        <v>45849</v>
      </c>
      <c r="G722" s="2">
        <v>45852</v>
      </c>
      <c r="H722" s="6">
        <f t="shared" si="27"/>
        <v>9</v>
      </c>
      <c r="I722" s="6">
        <f t="shared" si="26"/>
        <v>3</v>
      </c>
      <c r="J722" s="2" t="s">
        <v>31</v>
      </c>
      <c r="K722" s="2" t="s">
        <v>131</v>
      </c>
    </row>
    <row r="723" spans="1:12" x14ac:dyDescent="0.25">
      <c r="A723" s="3">
        <v>41129</v>
      </c>
      <c r="B723" s="2" t="s">
        <v>38</v>
      </c>
      <c r="C723" t="s">
        <v>7</v>
      </c>
      <c r="D723" t="s">
        <v>208</v>
      </c>
      <c r="E723" s="2">
        <v>45844</v>
      </c>
      <c r="F723" s="2" cm="1">
        <f t="array" ref="F723">_xlfn.IFS(B723="Owner Surrender",E723,B723="Stray",E723+6,B723="Stray w/identification",E723+11,B723="Bite",E723+10,B723="Other",Blank)</f>
        <v>45850</v>
      </c>
      <c r="G723" s="2">
        <v>45852</v>
      </c>
      <c r="H723" s="6">
        <f t="shared" si="27"/>
        <v>8</v>
      </c>
      <c r="I723" s="6">
        <f t="shared" si="26"/>
        <v>2</v>
      </c>
      <c r="J723" t="s">
        <v>31</v>
      </c>
    </row>
    <row r="724" spans="1:12" x14ac:dyDescent="0.25">
      <c r="A724" s="3">
        <v>41132</v>
      </c>
      <c r="B724" s="2" t="s">
        <v>38</v>
      </c>
      <c r="C724" t="s">
        <v>7</v>
      </c>
      <c r="D724" t="s">
        <v>209</v>
      </c>
      <c r="E724" s="2">
        <v>45845</v>
      </c>
      <c r="F724" s="2" cm="1">
        <f t="array" ref="F724">_xlfn.IFS(B724="Owner Surrender",E724,B724="Stray",E724+6,B724="Stray w/identification",E724+11,B724="Bite",E724+10,B724="Other",Blank)</f>
        <v>45851</v>
      </c>
      <c r="G724" s="2">
        <v>45845</v>
      </c>
      <c r="H724" s="6">
        <f t="shared" si="27"/>
        <v>0</v>
      </c>
      <c r="I724" s="6">
        <f t="shared" si="26"/>
        <v>-6</v>
      </c>
      <c r="J724" s="2" t="s">
        <v>31</v>
      </c>
      <c r="L724" t="s">
        <v>132</v>
      </c>
    </row>
    <row r="725" spans="1:12" x14ac:dyDescent="0.25">
      <c r="A725" s="3">
        <v>41133</v>
      </c>
      <c r="B725" s="2" t="s">
        <v>38</v>
      </c>
      <c r="C725" t="s">
        <v>7</v>
      </c>
      <c r="D725" t="s">
        <v>209</v>
      </c>
      <c r="E725" s="2">
        <v>45845</v>
      </c>
      <c r="F725" s="2" cm="1">
        <f t="array" ref="F725">_xlfn.IFS(B725="Owner Surrender",E725,B725="Stray",E725+6,B725="Stray w/identification",E725+11,B725="Bite",E725+10,B725="Other",Blank)</f>
        <v>45851</v>
      </c>
      <c r="G725" s="2">
        <v>45845</v>
      </c>
      <c r="H725" s="6">
        <f t="shared" si="27"/>
        <v>0</v>
      </c>
      <c r="I725" s="6">
        <f t="shared" si="26"/>
        <v>-6</v>
      </c>
      <c r="J725" s="2" t="s">
        <v>31</v>
      </c>
      <c r="L725" t="s">
        <v>132</v>
      </c>
    </row>
    <row r="726" spans="1:12" x14ac:dyDescent="0.25">
      <c r="A726" s="3">
        <v>41134</v>
      </c>
      <c r="B726" s="2" t="s">
        <v>36</v>
      </c>
      <c r="C726" t="s">
        <v>7</v>
      </c>
      <c r="D726" t="s">
        <v>208</v>
      </c>
      <c r="E726" s="2">
        <v>45845</v>
      </c>
      <c r="F726" s="2" cm="1">
        <f t="array" ref="F726">_xlfn.IFS(B726="Owner Surrender",E726,B726="Stray",E726+6,B726="Stray w/identification",E726+11,B726="Bite",E726+10,B726="Other",Blank)</f>
        <v>45845</v>
      </c>
      <c r="G726" s="2">
        <v>45864</v>
      </c>
      <c r="H726" s="6">
        <f t="shared" si="27"/>
        <v>19</v>
      </c>
      <c r="I726" s="6">
        <f t="shared" si="26"/>
        <v>19</v>
      </c>
      <c r="J726" s="2" t="s">
        <v>31</v>
      </c>
    </row>
    <row r="727" spans="1:12" x14ac:dyDescent="0.25">
      <c r="A727" s="3">
        <v>41135</v>
      </c>
      <c r="B727" s="2" t="s">
        <v>36</v>
      </c>
      <c r="C727" t="s">
        <v>10</v>
      </c>
      <c r="D727" t="s">
        <v>208</v>
      </c>
      <c r="E727" s="2">
        <v>45845</v>
      </c>
      <c r="F727" s="2" cm="1">
        <f t="array" ref="F727">_xlfn.IFS(B727="Owner Surrender",E727,B727="Stray",E727+6,B727="Stray w/identification",E727+11,B727="Bite",E727+10,B727="Other",Blank)</f>
        <v>45845</v>
      </c>
      <c r="G727" s="2">
        <v>45881</v>
      </c>
      <c r="H727" s="6">
        <f t="shared" si="27"/>
        <v>36</v>
      </c>
      <c r="I727" s="6">
        <f t="shared" si="26"/>
        <v>36</v>
      </c>
      <c r="J727" s="2" t="s">
        <v>31</v>
      </c>
    </row>
    <row r="728" spans="1:12" x14ac:dyDescent="0.25">
      <c r="A728" s="3">
        <v>41137</v>
      </c>
      <c r="B728" s="2" t="s">
        <v>38</v>
      </c>
      <c r="C728" t="s">
        <v>7</v>
      </c>
      <c r="D728" t="s">
        <v>209</v>
      </c>
      <c r="E728" s="2">
        <v>45845</v>
      </c>
      <c r="F728" s="2" cm="1">
        <f t="array" ref="F728">_xlfn.IFS(B728="Owner Surrender",E728,B728="Stray",E728+6,B728="Stray w/identification",E728+11,B728="Bite",E728+10,B728="Other",Blank)</f>
        <v>45851</v>
      </c>
      <c r="G728" s="2">
        <v>45845</v>
      </c>
      <c r="H728" s="6">
        <f t="shared" si="27"/>
        <v>0</v>
      </c>
      <c r="I728" s="6">
        <f t="shared" si="26"/>
        <v>-6</v>
      </c>
      <c r="J728" s="2" t="s">
        <v>31</v>
      </c>
      <c r="L728" t="s">
        <v>132</v>
      </c>
    </row>
    <row r="729" spans="1:12" x14ac:dyDescent="0.25">
      <c r="A729" s="3">
        <v>41138</v>
      </c>
      <c r="B729" s="2" t="s">
        <v>38</v>
      </c>
      <c r="C729" t="s">
        <v>7</v>
      </c>
      <c r="D729" t="s">
        <v>208</v>
      </c>
      <c r="E729" s="2">
        <v>45845</v>
      </c>
      <c r="F729" s="2" cm="1">
        <f t="array" ref="F729">_xlfn.IFS(B729="Owner Surrender",E729,B729="Stray",E729+6,B729="Stray w/identification",E729+11,B729="Bite",E729+10,B729="Other",Blank)</f>
        <v>45851</v>
      </c>
      <c r="J729" t="s">
        <v>21</v>
      </c>
      <c r="L729" t="s">
        <v>24</v>
      </c>
    </row>
    <row r="730" spans="1:12" x14ac:dyDescent="0.25">
      <c r="A730" s="3">
        <v>41147</v>
      </c>
      <c r="B730" s="2" t="s">
        <v>38</v>
      </c>
      <c r="C730" t="s">
        <v>7</v>
      </c>
      <c r="D730" t="s">
        <v>209</v>
      </c>
      <c r="E730" s="2">
        <v>45845</v>
      </c>
      <c r="F730" s="2" cm="1">
        <f t="array" ref="F730">_xlfn.IFS(B730="Owner Surrender",E730,B730="Stray",E730+6,B730="Stray w/identification",E730+11,B730="Bite",E730+10,B730="Other",Blank)</f>
        <v>45851</v>
      </c>
      <c r="G730" s="2">
        <v>45852</v>
      </c>
      <c r="H730" s="6">
        <f t="shared" ref="H730:H766" si="28">+G730-E730</f>
        <v>7</v>
      </c>
      <c r="I730" s="6">
        <f t="shared" ref="I730:I766" si="29">G730-F730</f>
        <v>1</v>
      </c>
      <c r="J730" t="s">
        <v>31</v>
      </c>
    </row>
    <row r="731" spans="1:12" x14ac:dyDescent="0.25">
      <c r="A731" s="3">
        <v>41148</v>
      </c>
      <c r="B731" s="2" t="s">
        <v>38</v>
      </c>
      <c r="C731" t="s">
        <v>7</v>
      </c>
      <c r="D731" t="s">
        <v>209</v>
      </c>
      <c r="E731" s="2">
        <v>45845</v>
      </c>
      <c r="F731" s="2" cm="1">
        <f t="array" ref="F731">_xlfn.IFS(B731="Owner Surrender",E731,B731="Stray",E731+6,B731="Stray w/identification",E731+11,B731="Bite",E731+10,B731="Other",Blank)</f>
        <v>45851</v>
      </c>
      <c r="G731" s="2">
        <v>45852</v>
      </c>
      <c r="H731" s="6">
        <f t="shared" si="28"/>
        <v>7</v>
      </c>
      <c r="I731" s="6">
        <f t="shared" si="29"/>
        <v>1</v>
      </c>
      <c r="J731" t="s">
        <v>31</v>
      </c>
    </row>
    <row r="732" spans="1:12" x14ac:dyDescent="0.25">
      <c r="A732" s="3">
        <v>41151</v>
      </c>
      <c r="B732" s="2" t="s">
        <v>38</v>
      </c>
      <c r="C732" t="s">
        <v>7</v>
      </c>
      <c r="D732" t="s">
        <v>209</v>
      </c>
      <c r="E732" s="2">
        <v>45846</v>
      </c>
      <c r="F732" s="2" cm="1">
        <f t="array" ref="F732">_xlfn.IFS(B732="Owner Surrender",E732,B732="Stray",E732+6,B732="Stray w/identification",E732+11,B732="Bite",E732+10,B732="Other",Blank)</f>
        <v>45852</v>
      </c>
      <c r="G732" s="2">
        <v>45874</v>
      </c>
      <c r="H732" s="6">
        <f t="shared" si="28"/>
        <v>28</v>
      </c>
      <c r="I732" s="6">
        <f t="shared" si="29"/>
        <v>22</v>
      </c>
      <c r="J732" t="s">
        <v>31</v>
      </c>
    </row>
    <row r="733" spans="1:12" x14ac:dyDescent="0.25">
      <c r="A733" s="3">
        <v>41152</v>
      </c>
      <c r="B733" s="2" t="s">
        <v>36</v>
      </c>
      <c r="C733" t="s">
        <v>7</v>
      </c>
      <c r="D733" t="s">
        <v>208</v>
      </c>
      <c r="E733" s="2">
        <v>45846</v>
      </c>
      <c r="F733" s="2" cm="1">
        <f t="array" ref="F733">_xlfn.IFS(B733="Owner Surrender",E733,B733="Stray",E733+6,B733="Stray w/identification",E733+11,B733="Bite",E733+10,B733="Other",Blank)</f>
        <v>45846</v>
      </c>
      <c r="G733" s="2">
        <v>45877</v>
      </c>
      <c r="H733" s="6">
        <f t="shared" si="28"/>
        <v>31</v>
      </c>
      <c r="I733" s="6">
        <f t="shared" si="29"/>
        <v>31</v>
      </c>
      <c r="J733" s="2" t="s">
        <v>31</v>
      </c>
    </row>
    <row r="734" spans="1:12" x14ac:dyDescent="0.25">
      <c r="A734" s="3">
        <v>41153</v>
      </c>
      <c r="B734" s="2" t="s">
        <v>36</v>
      </c>
      <c r="C734" t="s">
        <v>7</v>
      </c>
      <c r="D734" t="s">
        <v>208</v>
      </c>
      <c r="E734" s="2">
        <v>45846</v>
      </c>
      <c r="F734" s="2" cm="1">
        <f t="array" ref="F734">_xlfn.IFS(B734="Owner Surrender",E734,B734="Stray",E734+6,B734="Stray w/identification",E734+11,B734="Bite",E734+10,B734="Other",Blank)</f>
        <v>45846</v>
      </c>
      <c r="G734" s="2">
        <v>45855</v>
      </c>
      <c r="H734" s="6">
        <f t="shared" si="28"/>
        <v>9</v>
      </c>
      <c r="I734" s="6">
        <f t="shared" si="29"/>
        <v>9</v>
      </c>
      <c r="J734" s="2" t="s">
        <v>31</v>
      </c>
    </row>
    <row r="735" spans="1:12" x14ac:dyDescent="0.25">
      <c r="A735" s="3">
        <v>41154</v>
      </c>
      <c r="B735" s="2" t="s">
        <v>36</v>
      </c>
      <c r="C735" t="s">
        <v>7</v>
      </c>
      <c r="D735" t="s">
        <v>208</v>
      </c>
      <c r="E735" s="2">
        <v>45846</v>
      </c>
      <c r="F735" s="2" cm="1">
        <f t="array" ref="F735">_xlfn.IFS(B735="Owner Surrender",E735,B735="Stray",E735+6,B735="Stray w/identification",E735+11,B735="Bite",E735+10,B735="Other",Blank)</f>
        <v>45846</v>
      </c>
      <c r="G735" s="2">
        <v>45855</v>
      </c>
      <c r="H735" s="6">
        <f t="shared" si="28"/>
        <v>9</v>
      </c>
      <c r="I735" s="6">
        <f t="shared" si="29"/>
        <v>9</v>
      </c>
      <c r="J735" s="2" t="s">
        <v>31</v>
      </c>
    </row>
    <row r="736" spans="1:12" x14ac:dyDescent="0.25">
      <c r="A736" s="3">
        <v>41155</v>
      </c>
      <c r="B736" s="2" t="s">
        <v>36</v>
      </c>
      <c r="C736" t="s">
        <v>7</v>
      </c>
      <c r="D736" t="s">
        <v>208</v>
      </c>
      <c r="E736" s="2">
        <v>45846</v>
      </c>
      <c r="F736" s="2" cm="1">
        <f t="array" ref="F736">_xlfn.IFS(B736="Owner Surrender",E736,B736="Stray",E736+6,B736="Stray w/identification",E736+11,B736="Bite",E736+10,B736="Other",Blank)</f>
        <v>45846</v>
      </c>
      <c r="G736" s="2">
        <v>45852</v>
      </c>
      <c r="H736" s="6">
        <f t="shared" si="28"/>
        <v>6</v>
      </c>
      <c r="I736" s="6">
        <f t="shared" si="29"/>
        <v>6</v>
      </c>
      <c r="J736" t="s">
        <v>31</v>
      </c>
    </row>
    <row r="737" spans="1:12" x14ac:dyDescent="0.25">
      <c r="A737" s="3">
        <v>41158</v>
      </c>
      <c r="B737" s="2" t="s">
        <v>36</v>
      </c>
      <c r="C737" t="s">
        <v>7</v>
      </c>
      <c r="D737" t="s">
        <v>208</v>
      </c>
      <c r="E737" s="2">
        <v>45846</v>
      </c>
      <c r="F737" s="2" cm="1">
        <f t="array" ref="F737">_xlfn.IFS(B737="Owner Surrender",E737,B737="Stray",E737+6,B737="Stray w/identification",E737+11,B737="Bite",E737+10,B737="Other",Blank)</f>
        <v>45846</v>
      </c>
      <c r="G737" s="2">
        <v>45852</v>
      </c>
      <c r="H737" s="6">
        <f t="shared" si="28"/>
        <v>6</v>
      </c>
      <c r="I737" s="6">
        <f t="shared" si="29"/>
        <v>6</v>
      </c>
      <c r="J737" s="2" t="s">
        <v>31</v>
      </c>
    </row>
    <row r="738" spans="1:12" x14ac:dyDescent="0.25">
      <c r="A738" s="3">
        <v>41160</v>
      </c>
      <c r="B738" s="2" t="s">
        <v>36</v>
      </c>
      <c r="C738" t="s">
        <v>7</v>
      </c>
      <c r="D738" t="s">
        <v>208</v>
      </c>
      <c r="E738" s="2">
        <v>45846</v>
      </c>
      <c r="F738" s="2" cm="1">
        <f t="array" ref="F738">_xlfn.IFS(B738="Owner Surrender",E738,B738="Stray",E738+6,B738="Stray w/identification",E738+11,B738="Bite",E738+10,B738="Other",Blank)</f>
        <v>45846</v>
      </c>
      <c r="G738" s="2">
        <v>45866</v>
      </c>
      <c r="H738" s="6">
        <f t="shared" si="28"/>
        <v>20</v>
      </c>
      <c r="I738" s="6">
        <f t="shared" si="29"/>
        <v>20</v>
      </c>
      <c r="J738" t="s">
        <v>31</v>
      </c>
      <c r="L738" t="s">
        <v>36</v>
      </c>
    </row>
    <row r="739" spans="1:12" x14ac:dyDescent="0.25">
      <c r="A739" s="3">
        <v>41161</v>
      </c>
      <c r="B739" s="2" t="s">
        <v>36</v>
      </c>
      <c r="C739" t="s">
        <v>7</v>
      </c>
      <c r="D739" t="s">
        <v>209</v>
      </c>
      <c r="E739" s="2">
        <v>45846</v>
      </c>
      <c r="F739" s="2" cm="1">
        <f t="array" ref="F739">_xlfn.IFS(B739="Owner Surrender",E739,B739="Stray",E739+6,B739="Stray w/identification",E739+11,B739="Bite",E739+10,B739="Other",Blank)</f>
        <v>45846</v>
      </c>
      <c r="G739" s="2">
        <v>45861</v>
      </c>
      <c r="H739" s="6">
        <f t="shared" si="28"/>
        <v>15</v>
      </c>
      <c r="I739" s="6">
        <f t="shared" si="29"/>
        <v>15</v>
      </c>
      <c r="J739" s="2" t="s">
        <v>31</v>
      </c>
      <c r="K739" s="2" t="s">
        <v>48</v>
      </c>
    </row>
    <row r="740" spans="1:12" x14ac:dyDescent="0.25">
      <c r="A740" s="3">
        <v>41162</v>
      </c>
      <c r="B740" s="2" t="s">
        <v>36</v>
      </c>
      <c r="C740" t="s">
        <v>7</v>
      </c>
      <c r="D740" t="s">
        <v>209</v>
      </c>
      <c r="E740" s="2">
        <v>45846</v>
      </c>
      <c r="F740" s="2" cm="1">
        <f t="array" ref="F740">_xlfn.IFS(B740="Owner Surrender",E740,B740="Stray",E740+6,B740="Stray w/identification",E740+11,B740="Bite",E740+10,B740="Other",Blank)</f>
        <v>45846</v>
      </c>
      <c r="G740" s="2">
        <v>45861</v>
      </c>
      <c r="H740" s="6">
        <f t="shared" si="28"/>
        <v>15</v>
      </c>
      <c r="I740" s="6">
        <f t="shared" si="29"/>
        <v>15</v>
      </c>
      <c r="J740" s="2" t="s">
        <v>31</v>
      </c>
    </row>
    <row r="741" spans="1:12" x14ac:dyDescent="0.25">
      <c r="A741" s="3">
        <v>41163</v>
      </c>
      <c r="B741" s="2" t="s">
        <v>36</v>
      </c>
      <c r="C741" t="s">
        <v>15</v>
      </c>
      <c r="D741" t="s">
        <v>209</v>
      </c>
      <c r="E741" s="2">
        <v>45846</v>
      </c>
      <c r="F741" s="2" cm="1">
        <f t="array" ref="F741">_xlfn.IFS(B741="Owner Surrender",E741,B741="Stray",E741+6,B741="Stray w/identification",E741+11,B741="Bite",E741+10,B741="Other",Blank)</f>
        <v>45846</v>
      </c>
      <c r="G741" s="2">
        <v>45852</v>
      </c>
      <c r="H741" s="6">
        <f t="shared" si="28"/>
        <v>6</v>
      </c>
      <c r="I741" s="6">
        <f t="shared" si="29"/>
        <v>6</v>
      </c>
      <c r="J741" s="2" t="s">
        <v>31</v>
      </c>
    </row>
    <row r="742" spans="1:12" x14ac:dyDescent="0.25">
      <c r="A742" s="3">
        <v>41164</v>
      </c>
      <c r="B742" s="2" t="s">
        <v>36</v>
      </c>
      <c r="C742" t="s">
        <v>7</v>
      </c>
      <c r="D742" t="s">
        <v>209</v>
      </c>
      <c r="E742" s="2">
        <v>45847</v>
      </c>
      <c r="F742" s="2" cm="1">
        <f t="array" ref="F742">_xlfn.IFS(B742="Owner Surrender",E742,B742="Stray",E742+6,B742="Stray w/identification",E742+11,B742="Bite",E742+10,B742="Other",Blank)</f>
        <v>45847</v>
      </c>
      <c r="G742" s="2">
        <v>45852</v>
      </c>
      <c r="H742" s="6">
        <f t="shared" si="28"/>
        <v>5</v>
      </c>
      <c r="I742" s="6">
        <f t="shared" si="29"/>
        <v>5</v>
      </c>
      <c r="J742" s="2" t="s">
        <v>31</v>
      </c>
    </row>
    <row r="743" spans="1:12" x14ac:dyDescent="0.25">
      <c r="A743" s="3">
        <v>41167</v>
      </c>
      <c r="B743" s="2" t="s">
        <v>38</v>
      </c>
      <c r="C743" t="s">
        <v>10</v>
      </c>
      <c r="D743" t="s">
        <v>209</v>
      </c>
      <c r="E743" s="2">
        <v>45847</v>
      </c>
      <c r="F743" s="2" cm="1">
        <f t="array" ref="F743">_xlfn.IFS(B743="Owner Surrender",E743,B743="Stray",E743+6,B743="Stray w/identification",E743+11,B743="Bite",E743+10,B743="Other",Blank)</f>
        <v>45853</v>
      </c>
      <c r="G743" s="2">
        <v>45847</v>
      </c>
      <c r="H743" s="6">
        <f t="shared" si="28"/>
        <v>0</v>
      </c>
      <c r="I743" s="6">
        <f t="shared" si="29"/>
        <v>-6</v>
      </c>
      <c r="J743" t="s">
        <v>31</v>
      </c>
      <c r="L743" t="s">
        <v>35</v>
      </c>
    </row>
    <row r="744" spans="1:12" x14ac:dyDescent="0.25">
      <c r="A744" s="3">
        <v>41168</v>
      </c>
      <c r="B744" s="2" t="s">
        <v>38</v>
      </c>
      <c r="C744" t="s">
        <v>7</v>
      </c>
      <c r="D744" t="s">
        <v>210</v>
      </c>
      <c r="E744" s="2">
        <v>45847</v>
      </c>
      <c r="F744" s="2" cm="1">
        <f t="array" ref="F744">_xlfn.IFS(B744="Owner Surrender",E744,B744="Stray",E744+6,B744="Stray w/identification",E744+11,B744="Bite",E744+10,B744="Other",Blank)</f>
        <v>45853</v>
      </c>
      <c r="G744" s="2">
        <v>45861</v>
      </c>
      <c r="H744" s="6">
        <f t="shared" si="28"/>
        <v>14</v>
      </c>
      <c r="I744" s="6">
        <f t="shared" si="29"/>
        <v>8</v>
      </c>
      <c r="J744" s="2" t="s">
        <v>31</v>
      </c>
      <c r="L744" t="s">
        <v>34</v>
      </c>
    </row>
    <row r="745" spans="1:12" x14ac:dyDescent="0.25">
      <c r="A745" s="3">
        <v>41169</v>
      </c>
      <c r="B745" s="2" t="s">
        <v>38</v>
      </c>
      <c r="C745" t="s">
        <v>7</v>
      </c>
      <c r="D745" t="s">
        <v>210</v>
      </c>
      <c r="E745" s="2">
        <v>45847</v>
      </c>
      <c r="F745" s="2" cm="1">
        <f t="array" ref="F745">_xlfn.IFS(B745="Owner Surrender",E745,B745="Stray",E745+6,B745="Stray w/identification",E745+11,B745="Bite",E745+10,B745="Other",Blank)</f>
        <v>45853</v>
      </c>
      <c r="G745" s="2">
        <v>45861</v>
      </c>
      <c r="H745" s="6">
        <f t="shared" si="28"/>
        <v>14</v>
      </c>
      <c r="I745" s="6">
        <f t="shared" si="29"/>
        <v>8</v>
      </c>
      <c r="J745" s="2" t="s">
        <v>31</v>
      </c>
      <c r="L745" t="s">
        <v>34</v>
      </c>
    </row>
    <row r="746" spans="1:12" x14ac:dyDescent="0.25">
      <c r="A746" s="3">
        <v>41172</v>
      </c>
      <c r="B746" s="2" t="s">
        <v>42</v>
      </c>
      <c r="C746" t="s">
        <v>7</v>
      </c>
      <c r="D746" t="s">
        <v>209</v>
      </c>
      <c r="E746" s="2">
        <v>45847</v>
      </c>
      <c r="F746" s="2" cm="1">
        <f t="array" ref="F746">_xlfn.IFS(B746="Owner Surrender",E746,B746="Stray",E746+6,B746="Stray w/identification",E746+11,B746="Bite",E746+10,B746="Other",Blank)</f>
        <v>45857</v>
      </c>
      <c r="G746" s="2">
        <v>45876</v>
      </c>
      <c r="H746" s="6">
        <f t="shared" si="28"/>
        <v>29</v>
      </c>
      <c r="I746" s="6">
        <f t="shared" si="29"/>
        <v>19</v>
      </c>
      <c r="J746" s="2" t="s">
        <v>31</v>
      </c>
    </row>
    <row r="747" spans="1:12" x14ac:dyDescent="0.25">
      <c r="A747" s="3">
        <v>41177</v>
      </c>
      <c r="B747" s="2" t="s">
        <v>38</v>
      </c>
      <c r="C747" t="s">
        <v>7</v>
      </c>
      <c r="D747" t="s">
        <v>209</v>
      </c>
      <c r="E747" s="2">
        <v>45847</v>
      </c>
      <c r="F747" s="2" cm="1">
        <f t="array" ref="F747">_xlfn.IFS(B747="Owner Surrender",E747,B747="Stray",E747+6,B747="Stray w/identification",E747+11,B747="Bite",E747+10,B747="Other",Blank)</f>
        <v>45853</v>
      </c>
      <c r="G747" s="2">
        <v>45856</v>
      </c>
      <c r="H747" s="6">
        <f t="shared" si="28"/>
        <v>9</v>
      </c>
      <c r="I747" s="6">
        <f t="shared" si="29"/>
        <v>3</v>
      </c>
      <c r="J747" s="2" t="s">
        <v>31</v>
      </c>
    </row>
    <row r="748" spans="1:12" x14ac:dyDescent="0.25">
      <c r="A748" s="3">
        <v>41179</v>
      </c>
      <c r="B748" s="2" t="s">
        <v>38</v>
      </c>
      <c r="C748" t="s">
        <v>7</v>
      </c>
      <c r="D748" t="s">
        <v>209</v>
      </c>
      <c r="E748" s="2">
        <v>45848</v>
      </c>
      <c r="F748" s="2" cm="1">
        <f t="array" ref="F748">_xlfn.IFS(B748="Owner Surrender",E748,B748="Stray",E748+6,B748="Stray w/identification",E748+11,B748="Bite",E748+10,B748="Other",Blank)</f>
        <v>45854</v>
      </c>
      <c r="G748" s="2">
        <v>45856</v>
      </c>
      <c r="H748" s="6">
        <f t="shared" si="28"/>
        <v>8</v>
      </c>
      <c r="I748" s="6">
        <f t="shared" si="29"/>
        <v>2</v>
      </c>
      <c r="J748" s="2" t="s">
        <v>31</v>
      </c>
      <c r="L748" t="s">
        <v>34</v>
      </c>
    </row>
    <row r="749" spans="1:12" x14ac:dyDescent="0.25">
      <c r="A749" s="3">
        <v>41180</v>
      </c>
      <c r="B749" s="2" t="s">
        <v>38</v>
      </c>
      <c r="C749" t="s">
        <v>7</v>
      </c>
      <c r="D749" t="s">
        <v>208</v>
      </c>
      <c r="E749" s="2">
        <v>45848</v>
      </c>
      <c r="F749" s="2" cm="1">
        <f t="array" ref="F749">_xlfn.IFS(B749="Owner Surrender",E749,B749="Stray",E749+6,B749="Stray w/identification",E749+11,B749="Bite",E749+10,B749="Other",Blank)</f>
        <v>45854</v>
      </c>
      <c r="G749" s="2">
        <v>45856</v>
      </c>
      <c r="H749" s="6">
        <f t="shared" si="28"/>
        <v>8</v>
      </c>
      <c r="I749" s="6">
        <f t="shared" si="29"/>
        <v>2</v>
      </c>
      <c r="J749" s="2" t="s">
        <v>31</v>
      </c>
    </row>
    <row r="750" spans="1:12" x14ac:dyDescent="0.25">
      <c r="A750" s="3">
        <v>41181</v>
      </c>
      <c r="B750" s="2" t="s">
        <v>38</v>
      </c>
      <c r="C750" t="s">
        <v>7</v>
      </c>
      <c r="D750" t="s">
        <v>209</v>
      </c>
      <c r="E750" s="2">
        <v>45848</v>
      </c>
      <c r="F750" s="2" cm="1">
        <f t="array" ref="F750">_xlfn.IFS(B750="Owner Surrender",E750,B750="Stray",E750+6,B750="Stray w/identification",E750+11,B750="Bite",E750+10,B750="Other",Blank)</f>
        <v>45854</v>
      </c>
      <c r="G750" s="2">
        <v>45852</v>
      </c>
      <c r="H750" s="6">
        <f t="shared" si="28"/>
        <v>4</v>
      </c>
      <c r="I750" s="6">
        <f t="shared" si="29"/>
        <v>-2</v>
      </c>
      <c r="J750" t="s">
        <v>31</v>
      </c>
      <c r="L750" t="s">
        <v>33</v>
      </c>
    </row>
    <row r="751" spans="1:12" x14ac:dyDescent="0.25">
      <c r="A751" s="3">
        <v>41182</v>
      </c>
      <c r="B751" s="2" t="s">
        <v>38</v>
      </c>
      <c r="C751" t="s">
        <v>7</v>
      </c>
      <c r="D751" t="s">
        <v>209</v>
      </c>
      <c r="E751" s="2">
        <v>45848</v>
      </c>
      <c r="F751" s="2" cm="1">
        <f t="array" ref="F751">_xlfn.IFS(B751="Owner Surrender",E751,B751="Stray",E751+6,B751="Stray w/identification",E751+11,B751="Bite",E751+10,B751="Other",Blank)</f>
        <v>45854</v>
      </c>
      <c r="G751" s="2">
        <v>45852</v>
      </c>
      <c r="H751" s="6">
        <f t="shared" si="28"/>
        <v>4</v>
      </c>
      <c r="I751" s="6">
        <f t="shared" si="29"/>
        <v>-2</v>
      </c>
      <c r="J751" t="s">
        <v>31</v>
      </c>
      <c r="L751" t="s">
        <v>33</v>
      </c>
    </row>
    <row r="752" spans="1:12" x14ac:dyDescent="0.25">
      <c r="A752" s="3">
        <v>41183</v>
      </c>
      <c r="B752" s="2" t="s">
        <v>36</v>
      </c>
      <c r="C752" t="s">
        <v>7</v>
      </c>
      <c r="D752" t="s">
        <v>209</v>
      </c>
      <c r="E752" s="2">
        <v>45848</v>
      </c>
      <c r="F752" s="2" cm="1">
        <f t="array" ref="F752">_xlfn.IFS(B752="Owner Surrender",E752,B752="Stray",E752+6,B752="Stray w/identification",E752+11,B752="Bite",E752+10,B752="Other",Blank)</f>
        <v>45848</v>
      </c>
      <c r="G752" s="2">
        <v>45852</v>
      </c>
      <c r="H752" s="6">
        <f t="shared" si="28"/>
        <v>4</v>
      </c>
      <c r="I752" s="6">
        <f t="shared" si="29"/>
        <v>4</v>
      </c>
      <c r="J752" t="s">
        <v>31</v>
      </c>
    </row>
    <row r="753" spans="1:12" x14ac:dyDescent="0.25">
      <c r="A753" s="3">
        <v>41184</v>
      </c>
      <c r="B753" s="2" t="s">
        <v>36</v>
      </c>
      <c r="C753" t="s">
        <v>7</v>
      </c>
      <c r="D753" t="s">
        <v>209</v>
      </c>
      <c r="E753" s="2">
        <v>45848</v>
      </c>
      <c r="F753" s="2" cm="1">
        <f t="array" ref="F753">_xlfn.IFS(B753="Owner Surrender",E753,B753="Stray",E753+6,B753="Stray w/identification",E753+11,B753="Bite",E753+10,B753="Other",Blank)</f>
        <v>45848</v>
      </c>
      <c r="G753" s="2">
        <v>45852</v>
      </c>
      <c r="H753" s="6">
        <f t="shared" si="28"/>
        <v>4</v>
      </c>
      <c r="I753" s="6">
        <f t="shared" si="29"/>
        <v>4</v>
      </c>
      <c r="J753" t="s">
        <v>31</v>
      </c>
    </row>
    <row r="754" spans="1:12" x14ac:dyDescent="0.25">
      <c r="A754" s="3">
        <v>41186</v>
      </c>
      <c r="B754" s="2" t="s">
        <v>36</v>
      </c>
      <c r="C754" t="s">
        <v>7</v>
      </c>
      <c r="D754" t="s">
        <v>208</v>
      </c>
      <c r="E754" s="2">
        <v>45848</v>
      </c>
      <c r="F754" s="2" cm="1">
        <f t="array" ref="F754">_xlfn.IFS(B754="Owner Surrender",E754,B754="Stray",E754+6,B754="Stray w/identification",E754+11,B754="Bite",E754+10,B754="Other",Blank)</f>
        <v>45848</v>
      </c>
      <c r="G754" s="2">
        <v>45852</v>
      </c>
      <c r="H754" s="6">
        <f t="shared" si="28"/>
        <v>4</v>
      </c>
      <c r="I754" s="6">
        <f t="shared" si="29"/>
        <v>4</v>
      </c>
      <c r="J754" s="2" t="s">
        <v>31</v>
      </c>
    </row>
    <row r="755" spans="1:12" x14ac:dyDescent="0.25">
      <c r="A755" s="3">
        <v>41194</v>
      </c>
      <c r="B755" s="2" t="s">
        <v>38</v>
      </c>
      <c r="C755" t="s">
        <v>7</v>
      </c>
      <c r="D755" t="s">
        <v>208</v>
      </c>
      <c r="E755" s="2">
        <v>45848</v>
      </c>
      <c r="F755" s="2" cm="1">
        <f t="array" ref="F755">_xlfn.IFS(B755="Owner Surrender",E755,B755="Stray",E755+6,B755="Stray w/identification",E755+11,B755="Bite",E755+10,B755="Other",Blank)</f>
        <v>45854</v>
      </c>
      <c r="G755" s="2">
        <v>45863</v>
      </c>
      <c r="H755" s="6">
        <f t="shared" si="28"/>
        <v>15</v>
      </c>
      <c r="I755" s="6">
        <f t="shared" si="29"/>
        <v>9</v>
      </c>
      <c r="J755" s="2" t="s">
        <v>11</v>
      </c>
      <c r="K755" t="s">
        <v>14</v>
      </c>
    </row>
    <row r="756" spans="1:12" x14ac:dyDescent="0.25">
      <c r="A756" s="3">
        <v>41195</v>
      </c>
      <c r="B756" s="2" t="s">
        <v>36</v>
      </c>
      <c r="C756" t="s">
        <v>7</v>
      </c>
      <c r="D756" t="s">
        <v>209</v>
      </c>
      <c r="E756" s="2">
        <v>45849</v>
      </c>
      <c r="F756" s="2" cm="1">
        <f t="array" ref="F756">_xlfn.IFS(B756="Owner Surrender",E756,B756="Stray",E756+6,B756="Stray w/identification",E756+11,B756="Bite",E756+10,B756="Other",Blank)</f>
        <v>45849</v>
      </c>
      <c r="G756" s="2">
        <v>45855</v>
      </c>
      <c r="H756" s="6">
        <f t="shared" si="28"/>
        <v>6</v>
      </c>
      <c r="I756" s="6">
        <f t="shared" si="29"/>
        <v>6</v>
      </c>
      <c r="J756" s="2" t="s">
        <v>31</v>
      </c>
    </row>
    <row r="757" spans="1:12" x14ac:dyDescent="0.25">
      <c r="A757" s="3">
        <v>41196</v>
      </c>
      <c r="B757" s="2" t="s">
        <v>36</v>
      </c>
      <c r="C757" t="s">
        <v>7</v>
      </c>
      <c r="D757" t="s">
        <v>209</v>
      </c>
      <c r="E757" s="2">
        <v>45849</v>
      </c>
      <c r="F757" s="2" cm="1">
        <f t="array" ref="F757">_xlfn.IFS(B757="Owner Surrender",E757,B757="Stray",E757+6,B757="Stray w/identification",E757+11,B757="Bite",E757+10,B757="Other",Blank)</f>
        <v>45849</v>
      </c>
      <c r="G757" s="2">
        <v>45855</v>
      </c>
      <c r="H757" s="6">
        <f t="shared" si="28"/>
        <v>6</v>
      </c>
      <c r="I757" s="6">
        <f t="shared" si="29"/>
        <v>6</v>
      </c>
      <c r="J757" s="2" t="s">
        <v>31</v>
      </c>
    </row>
    <row r="758" spans="1:12" x14ac:dyDescent="0.25">
      <c r="A758" s="3">
        <v>41197</v>
      </c>
      <c r="B758" s="2" t="s">
        <v>36</v>
      </c>
      <c r="C758" t="s">
        <v>7</v>
      </c>
      <c r="D758" t="s">
        <v>209</v>
      </c>
      <c r="E758" s="2">
        <v>45849</v>
      </c>
      <c r="F758" s="2" cm="1">
        <f t="array" ref="F758">_xlfn.IFS(B758="Owner Surrender",E758,B758="Stray",E758+6,B758="Stray w/identification",E758+11,B758="Bite",E758+10,B758="Other",Blank)</f>
        <v>45849</v>
      </c>
      <c r="G758" s="2">
        <v>45855</v>
      </c>
      <c r="H758" s="6">
        <f t="shared" si="28"/>
        <v>6</v>
      </c>
      <c r="I758" s="6">
        <f t="shared" si="29"/>
        <v>6</v>
      </c>
      <c r="J758" s="2" t="s">
        <v>31</v>
      </c>
    </row>
    <row r="759" spans="1:12" x14ac:dyDescent="0.25">
      <c r="A759" s="3">
        <v>41198</v>
      </c>
      <c r="B759" s="2" t="s">
        <v>36</v>
      </c>
      <c r="C759" t="s">
        <v>7</v>
      </c>
      <c r="D759" t="s">
        <v>209</v>
      </c>
      <c r="E759" s="2">
        <v>45849</v>
      </c>
      <c r="F759" s="2" cm="1">
        <f t="array" ref="F759">_xlfn.IFS(B759="Owner Surrender",E759,B759="Stray",E759+6,B759="Stray w/identification",E759+11,B759="Bite",E759+10,B759="Other",Blank)</f>
        <v>45849</v>
      </c>
      <c r="G759" s="2">
        <v>45855</v>
      </c>
      <c r="H759" s="6">
        <f t="shared" si="28"/>
        <v>6</v>
      </c>
      <c r="I759" s="6">
        <f t="shared" si="29"/>
        <v>6</v>
      </c>
      <c r="J759" s="2" t="s">
        <v>31</v>
      </c>
    </row>
    <row r="760" spans="1:12" x14ac:dyDescent="0.25">
      <c r="A760" s="3">
        <v>41199</v>
      </c>
      <c r="B760" s="2" t="s">
        <v>36</v>
      </c>
      <c r="C760" t="s">
        <v>7</v>
      </c>
      <c r="D760" t="s">
        <v>208</v>
      </c>
      <c r="E760" s="2">
        <v>45849</v>
      </c>
      <c r="F760" s="2" cm="1">
        <f t="array" ref="F760">_xlfn.IFS(B760="Owner Surrender",E760,B760="Stray",E760+6,B760="Stray w/identification",E760+11,B760="Bite",E760+10,B760="Other",Blank)</f>
        <v>45849</v>
      </c>
      <c r="G760" s="2">
        <v>45856</v>
      </c>
      <c r="H760" s="6">
        <f t="shared" si="28"/>
        <v>7</v>
      </c>
      <c r="I760" s="6">
        <f t="shared" si="29"/>
        <v>7</v>
      </c>
      <c r="J760" s="2" t="s">
        <v>31</v>
      </c>
    </row>
    <row r="761" spans="1:12" x14ac:dyDescent="0.25">
      <c r="A761" s="3">
        <v>41203</v>
      </c>
      <c r="B761" s="2" t="s">
        <v>38</v>
      </c>
      <c r="C761" t="s">
        <v>7</v>
      </c>
      <c r="D761" t="s">
        <v>209</v>
      </c>
      <c r="E761" s="2">
        <v>45850</v>
      </c>
      <c r="F761" s="2" cm="1">
        <f t="array" ref="F761">_xlfn.IFS(B761="Owner Surrender",E761,B761="Stray",E761+6,B761="Stray w/identification",E761+11,B761="Bite",E761+10,B761="Other",Blank)</f>
        <v>45856</v>
      </c>
      <c r="G761" s="2">
        <v>45850</v>
      </c>
      <c r="H761" s="6">
        <f t="shared" si="28"/>
        <v>0</v>
      </c>
      <c r="I761" s="6">
        <f t="shared" si="29"/>
        <v>-6</v>
      </c>
      <c r="J761" s="2" t="s">
        <v>31</v>
      </c>
      <c r="L761" t="s">
        <v>144</v>
      </c>
    </row>
    <row r="762" spans="1:12" x14ac:dyDescent="0.25">
      <c r="A762" s="3">
        <v>41204</v>
      </c>
      <c r="B762" s="2" t="s">
        <v>38</v>
      </c>
      <c r="C762" t="s">
        <v>7</v>
      </c>
      <c r="D762" t="s">
        <v>209</v>
      </c>
      <c r="E762" s="2">
        <v>45850</v>
      </c>
      <c r="F762" s="2" cm="1">
        <f t="array" ref="F762">_xlfn.IFS(B762="Owner Surrender",E762,B762="Stray",E762+6,B762="Stray w/identification",E762+11,B762="Bite",E762+10,B762="Other",Blank)</f>
        <v>45856</v>
      </c>
      <c r="G762" s="2">
        <v>45850</v>
      </c>
      <c r="H762" s="6">
        <f t="shared" si="28"/>
        <v>0</v>
      </c>
      <c r="I762" s="6">
        <f t="shared" si="29"/>
        <v>-6</v>
      </c>
      <c r="J762" s="2" t="s">
        <v>31</v>
      </c>
      <c r="L762" t="s">
        <v>144</v>
      </c>
    </row>
    <row r="763" spans="1:12" x14ac:dyDescent="0.25">
      <c r="A763" s="3">
        <v>41205</v>
      </c>
      <c r="B763" s="2" t="s">
        <v>44</v>
      </c>
      <c r="C763" t="s">
        <v>7</v>
      </c>
      <c r="D763" t="s">
        <v>209</v>
      </c>
      <c r="E763" s="2">
        <v>45849</v>
      </c>
      <c r="F763" s="2" t="e" cm="1">
        <f t="array" ref="F763">_xlfn.IFS(B763="Owner Surrender",E763,B763="Stray",E763+6,B763="Stray w/identification",E763+11,B763="Bite",E763+10,B763="Other",Blank)</f>
        <v>#N/A</v>
      </c>
      <c r="G763" s="2">
        <v>45866</v>
      </c>
      <c r="H763" s="6">
        <f t="shared" si="28"/>
        <v>17</v>
      </c>
      <c r="I763" s="6" t="e">
        <f t="shared" si="29"/>
        <v>#N/A</v>
      </c>
      <c r="J763" t="s">
        <v>31</v>
      </c>
      <c r="L763" t="s">
        <v>41</v>
      </c>
    </row>
    <row r="764" spans="1:12" x14ac:dyDescent="0.25">
      <c r="A764" s="3">
        <v>41206</v>
      </c>
      <c r="B764" s="2" t="s">
        <v>44</v>
      </c>
      <c r="C764" t="s">
        <v>7</v>
      </c>
      <c r="D764" t="s">
        <v>209</v>
      </c>
      <c r="E764" s="2">
        <v>45849</v>
      </c>
      <c r="F764" s="2" t="e" cm="1">
        <f t="array" ref="F764">_xlfn.IFS(B764="Owner Surrender",E764,B764="Stray",E764+6,B764="Stray w/identification",E764+11,B764="Bite",E764+10,B764="Other",Blank)</f>
        <v>#N/A</v>
      </c>
      <c r="G764" s="2">
        <v>45866</v>
      </c>
      <c r="H764" s="6">
        <f t="shared" si="28"/>
        <v>17</v>
      </c>
      <c r="I764" s="6" t="e">
        <f t="shared" si="29"/>
        <v>#N/A</v>
      </c>
      <c r="J764" t="s">
        <v>31</v>
      </c>
      <c r="L764" t="s">
        <v>41</v>
      </c>
    </row>
    <row r="765" spans="1:12" x14ac:dyDescent="0.25">
      <c r="A765" s="3">
        <v>41209</v>
      </c>
      <c r="B765" s="2" t="s">
        <v>38</v>
      </c>
      <c r="C765" t="s">
        <v>7</v>
      </c>
      <c r="D765" t="s">
        <v>208</v>
      </c>
      <c r="E765" s="2">
        <v>45850</v>
      </c>
      <c r="F765" s="2" cm="1">
        <f t="array" ref="F765">_xlfn.IFS(B765="Owner Surrender",E765,B765="Stray",E765+6,B765="Stray w/identification",E765+11,B765="Bite",E765+10,B765="Other",Blank)</f>
        <v>45856</v>
      </c>
      <c r="G765" s="2">
        <v>45881</v>
      </c>
      <c r="H765" s="6">
        <f t="shared" si="28"/>
        <v>31</v>
      </c>
      <c r="I765" s="6">
        <f t="shared" si="29"/>
        <v>25</v>
      </c>
      <c r="J765" s="2" t="s">
        <v>31</v>
      </c>
      <c r="K765" s="2" t="s">
        <v>146</v>
      </c>
      <c r="L765" s="2" t="s">
        <v>147</v>
      </c>
    </row>
    <row r="766" spans="1:12" x14ac:dyDescent="0.25">
      <c r="A766" s="3">
        <v>41211</v>
      </c>
      <c r="B766" s="2" t="s">
        <v>38</v>
      </c>
      <c r="C766" t="s">
        <v>7</v>
      </c>
      <c r="D766" t="s">
        <v>209</v>
      </c>
      <c r="E766" s="2">
        <v>45851</v>
      </c>
      <c r="F766" s="2" cm="1">
        <f t="array" ref="F766">_xlfn.IFS(B766="Owner Surrender",E766,B766="Stray",E766+6,B766="Stray w/identification",E766+11,B766="Bite",E766+10,B766="Other",Blank)</f>
        <v>45857</v>
      </c>
      <c r="G766" s="2">
        <v>45851</v>
      </c>
      <c r="H766" s="6">
        <f t="shared" si="28"/>
        <v>0</v>
      </c>
      <c r="I766" s="6">
        <f t="shared" si="29"/>
        <v>-6</v>
      </c>
      <c r="J766" s="2" t="s">
        <v>31</v>
      </c>
      <c r="L766" t="s">
        <v>148</v>
      </c>
    </row>
    <row r="767" spans="1:12" x14ac:dyDescent="0.25">
      <c r="A767" s="3">
        <v>41212</v>
      </c>
      <c r="B767" s="2" t="s">
        <v>38</v>
      </c>
      <c r="C767" t="s">
        <v>7</v>
      </c>
      <c r="D767" t="s">
        <v>209</v>
      </c>
      <c r="E767" s="2">
        <v>45851</v>
      </c>
      <c r="F767" s="2" cm="1">
        <f t="array" ref="F767">_xlfn.IFS(B767="Owner Surrender",E767,B767="Stray",E767+6,B767="Stray w/identification",E767+11,B767="Bite",E767+10,B767="Other",Blank)</f>
        <v>45857</v>
      </c>
      <c r="J767" t="s">
        <v>21</v>
      </c>
      <c r="K767" t="s">
        <v>23</v>
      </c>
    </row>
    <row r="768" spans="1:12" x14ac:dyDescent="0.25">
      <c r="A768" s="3">
        <v>41213</v>
      </c>
      <c r="B768" s="2" t="s">
        <v>38</v>
      </c>
      <c r="C768" t="s">
        <v>7</v>
      </c>
      <c r="D768" t="s">
        <v>209</v>
      </c>
      <c r="E768" s="2">
        <v>45851</v>
      </c>
      <c r="F768" s="2" cm="1">
        <f t="array" ref="F768">_xlfn.IFS(B768="Owner Surrender",E768,B768="Stray",E768+6,B768="Stray w/identification",E768+11,B768="Bite",E768+10,B768="Other",Blank)</f>
        <v>45857</v>
      </c>
      <c r="G768" s="2">
        <v>45856</v>
      </c>
      <c r="H768" s="6">
        <f t="shared" ref="H768:H783" si="30">+G768-E768</f>
        <v>5</v>
      </c>
      <c r="I768" s="6">
        <f t="shared" ref="I768:I783" si="31">G768-F768</f>
        <v>-1</v>
      </c>
      <c r="J768" s="2" t="s">
        <v>31</v>
      </c>
    </row>
    <row r="769" spans="1:12" x14ac:dyDescent="0.25">
      <c r="A769" s="3">
        <v>41231</v>
      </c>
      <c r="B769" s="2" t="s">
        <v>36</v>
      </c>
      <c r="C769" t="s">
        <v>7</v>
      </c>
      <c r="D769" t="s">
        <v>208</v>
      </c>
      <c r="E769" s="2">
        <v>45852</v>
      </c>
      <c r="F769" s="2" cm="1">
        <f t="array" ref="F769">_xlfn.IFS(B769="Owner Surrender",E769,B769="Stray",E769+6,B769="Stray w/identification",E769+11,B769="Bite",E769+10,B769="Other",Blank)</f>
        <v>45852</v>
      </c>
      <c r="G769" s="2">
        <v>45855</v>
      </c>
      <c r="H769" s="6">
        <f t="shared" si="30"/>
        <v>3</v>
      </c>
      <c r="I769" s="6">
        <f t="shared" si="31"/>
        <v>3</v>
      </c>
      <c r="J769" s="2" t="s">
        <v>31</v>
      </c>
      <c r="K769" s="2" t="s">
        <v>150</v>
      </c>
    </row>
    <row r="770" spans="1:12" x14ac:dyDescent="0.25">
      <c r="A770" s="3">
        <v>41236</v>
      </c>
      <c r="B770" s="2" t="s">
        <v>38</v>
      </c>
      <c r="C770" t="s">
        <v>7</v>
      </c>
      <c r="D770" t="s">
        <v>209</v>
      </c>
      <c r="E770" s="2">
        <v>45853</v>
      </c>
      <c r="F770" s="2" cm="1">
        <f t="array" ref="F770">_xlfn.IFS(B770="Owner Surrender",E770,B770="Stray",E770+6,B770="Stray w/identification",E770+11,B770="Bite",E770+10,B770="Other",Blank)</f>
        <v>45859</v>
      </c>
      <c r="G770" s="2">
        <v>45855</v>
      </c>
      <c r="H770" s="6">
        <f t="shared" si="30"/>
        <v>2</v>
      </c>
      <c r="I770" s="6">
        <f t="shared" si="31"/>
        <v>-4</v>
      </c>
      <c r="J770" t="s">
        <v>28</v>
      </c>
      <c r="L770" t="s">
        <v>30</v>
      </c>
    </row>
    <row r="771" spans="1:12" x14ac:dyDescent="0.25">
      <c r="A771" s="3">
        <v>41238</v>
      </c>
      <c r="B771" s="2" t="s">
        <v>36</v>
      </c>
      <c r="C771" t="s">
        <v>7</v>
      </c>
      <c r="D771" t="s">
        <v>211</v>
      </c>
      <c r="E771" s="2">
        <v>45853</v>
      </c>
      <c r="F771" s="2" cm="1">
        <f t="array" ref="F771">_xlfn.IFS(B771="Owner Surrender",E771,B771="Stray",E771+6,B771="Stray w/identification",E771+11,B771="Bite",E771+10,B771="Other",Blank)</f>
        <v>45853</v>
      </c>
      <c r="G771" s="2">
        <v>45855</v>
      </c>
      <c r="H771" s="6">
        <f t="shared" si="30"/>
        <v>2</v>
      </c>
      <c r="I771" s="6">
        <f t="shared" si="31"/>
        <v>2</v>
      </c>
      <c r="J771" s="2" t="s">
        <v>31</v>
      </c>
      <c r="L771" t="s">
        <v>153</v>
      </c>
    </row>
    <row r="772" spans="1:12" x14ac:dyDescent="0.25">
      <c r="A772" s="3">
        <v>41239</v>
      </c>
      <c r="B772" s="2" t="s">
        <v>38</v>
      </c>
      <c r="C772" t="s">
        <v>10</v>
      </c>
      <c r="D772" t="s">
        <v>209</v>
      </c>
      <c r="E772" s="2">
        <v>45854</v>
      </c>
      <c r="F772" s="2" cm="1">
        <f t="array" ref="F772">_xlfn.IFS(B772="Owner Surrender",E772,B772="Stray",E772+6,B772="Stray w/identification",E772+11,B772="Bite",E772+10,B772="Other",Blank)</f>
        <v>45860</v>
      </c>
      <c r="G772" s="2">
        <v>45866</v>
      </c>
      <c r="H772" s="6">
        <f t="shared" si="30"/>
        <v>12</v>
      </c>
      <c r="I772" s="6">
        <f t="shared" si="31"/>
        <v>6</v>
      </c>
      <c r="J772" t="s">
        <v>31</v>
      </c>
      <c r="L772" t="s">
        <v>38</v>
      </c>
    </row>
    <row r="773" spans="1:12" x14ac:dyDescent="0.25">
      <c r="A773" s="3">
        <v>41240</v>
      </c>
      <c r="B773" s="2" t="s">
        <v>38</v>
      </c>
      <c r="C773" t="s">
        <v>10</v>
      </c>
      <c r="D773" t="s">
        <v>209</v>
      </c>
      <c r="E773" s="2">
        <v>45854</v>
      </c>
      <c r="F773" s="2" cm="1">
        <f t="array" ref="F773">_xlfn.IFS(B773="Owner Surrender",E773,B773="Stray",E773+6,B773="Stray w/identification",E773+11,B773="Bite",E773+10,B773="Other",Blank)</f>
        <v>45860</v>
      </c>
      <c r="G773" s="2">
        <v>45863</v>
      </c>
      <c r="H773" s="6">
        <f t="shared" si="30"/>
        <v>9</v>
      </c>
      <c r="I773" s="6">
        <f t="shared" si="31"/>
        <v>3</v>
      </c>
      <c r="J773" t="s">
        <v>31</v>
      </c>
      <c r="L773" t="s">
        <v>34</v>
      </c>
    </row>
    <row r="774" spans="1:12" x14ac:dyDescent="0.25">
      <c r="A774" s="3">
        <v>41241</v>
      </c>
      <c r="B774" s="2" t="s">
        <v>42</v>
      </c>
      <c r="C774" t="s">
        <v>10</v>
      </c>
      <c r="D774" t="s">
        <v>209</v>
      </c>
      <c r="E774" s="2">
        <v>45854</v>
      </c>
      <c r="F774" s="2" cm="1">
        <f t="array" ref="F774">_xlfn.IFS(B774="Owner Surrender",E774,B774="Stray",E774+6,B774="Stray w/identification",E774+11,B774="Bite",E774+10,B774="Other",Blank)</f>
        <v>45864</v>
      </c>
      <c r="G774" s="2">
        <v>45868</v>
      </c>
      <c r="H774" s="6">
        <f t="shared" si="30"/>
        <v>14</v>
      </c>
      <c r="I774" s="6">
        <f t="shared" si="31"/>
        <v>4</v>
      </c>
      <c r="J774" t="s">
        <v>31</v>
      </c>
      <c r="L774" t="s">
        <v>42</v>
      </c>
    </row>
    <row r="775" spans="1:12" x14ac:dyDescent="0.25">
      <c r="A775" s="3">
        <v>41244</v>
      </c>
      <c r="B775" s="2" t="s">
        <v>38</v>
      </c>
      <c r="C775" t="s">
        <v>7</v>
      </c>
      <c r="D775" t="s">
        <v>209</v>
      </c>
      <c r="E775" s="2">
        <v>45854</v>
      </c>
      <c r="F775" s="2" cm="1">
        <f t="array" ref="F775">_xlfn.IFS(B775="Owner Surrender",E775,B775="Stray",E775+6,B775="Stray w/identification",E775+11,B775="Bite",E775+10,B775="Other",Blank)</f>
        <v>45860</v>
      </c>
      <c r="G775" s="2">
        <v>45855</v>
      </c>
      <c r="H775" s="6">
        <f t="shared" si="30"/>
        <v>1</v>
      </c>
      <c r="I775" s="6">
        <f t="shared" si="31"/>
        <v>-5</v>
      </c>
      <c r="J775" s="2" t="s">
        <v>31</v>
      </c>
      <c r="L775" t="s">
        <v>47</v>
      </c>
    </row>
    <row r="776" spans="1:12" x14ac:dyDescent="0.25">
      <c r="A776" s="3">
        <v>41252</v>
      </c>
      <c r="B776" s="2" t="s">
        <v>38</v>
      </c>
      <c r="C776" t="s">
        <v>7</v>
      </c>
      <c r="D776" t="s">
        <v>208</v>
      </c>
      <c r="E776" s="2">
        <v>45856</v>
      </c>
      <c r="F776" s="2" cm="1">
        <f t="array" ref="F776">_xlfn.IFS(B776="Owner Surrender",E776,B776="Stray",E776+6,B776="Stray w/identification",E776+11,B776="Bite",E776+10,B776="Other",Blank)</f>
        <v>45862</v>
      </c>
      <c r="G776" s="2">
        <v>45866</v>
      </c>
      <c r="H776" s="6">
        <f t="shared" si="30"/>
        <v>10</v>
      </c>
      <c r="I776" s="6">
        <f t="shared" si="31"/>
        <v>4</v>
      </c>
      <c r="J776" t="s">
        <v>31</v>
      </c>
      <c r="L776" t="s">
        <v>38</v>
      </c>
    </row>
    <row r="777" spans="1:12" x14ac:dyDescent="0.25">
      <c r="A777" s="3">
        <v>41253</v>
      </c>
      <c r="B777" s="2" t="s">
        <v>38</v>
      </c>
      <c r="C777" t="s">
        <v>7</v>
      </c>
      <c r="D777" t="s">
        <v>209</v>
      </c>
      <c r="E777" s="2">
        <v>45856</v>
      </c>
      <c r="F777" s="2" cm="1">
        <f t="array" ref="F777">_xlfn.IFS(B777="Owner Surrender",E777,B777="Stray",E777+6,B777="Stray w/identification",E777+11,B777="Bite",E777+10,B777="Other",Blank)</f>
        <v>45862</v>
      </c>
      <c r="G777" s="2">
        <v>45866</v>
      </c>
      <c r="H777" s="6">
        <f t="shared" si="30"/>
        <v>10</v>
      </c>
      <c r="I777" s="6">
        <f t="shared" si="31"/>
        <v>4</v>
      </c>
      <c r="J777" t="s">
        <v>31</v>
      </c>
      <c r="L777" t="s">
        <v>40</v>
      </c>
    </row>
    <row r="778" spans="1:12" x14ac:dyDescent="0.25">
      <c r="A778" s="3">
        <v>41254</v>
      </c>
      <c r="B778" s="2" t="s">
        <v>38</v>
      </c>
      <c r="C778" t="s">
        <v>7</v>
      </c>
      <c r="D778" t="s">
        <v>209</v>
      </c>
      <c r="E778" s="2">
        <v>45856</v>
      </c>
      <c r="F778" s="2" cm="1">
        <f t="array" ref="F778">_xlfn.IFS(B778="Owner Surrender",E778,B778="Stray",E778+6,B778="Stray w/identification",E778+11,B778="Bite",E778+10,B778="Other",Blank)</f>
        <v>45862</v>
      </c>
      <c r="G778" s="2">
        <v>45863</v>
      </c>
      <c r="H778" s="6">
        <f t="shared" si="30"/>
        <v>7</v>
      </c>
      <c r="I778" s="6">
        <f t="shared" si="31"/>
        <v>1</v>
      </c>
      <c r="J778" t="s">
        <v>31</v>
      </c>
      <c r="L778" t="s">
        <v>39</v>
      </c>
    </row>
    <row r="779" spans="1:12" x14ac:dyDescent="0.25">
      <c r="A779" s="3">
        <v>41255</v>
      </c>
      <c r="B779" s="2" t="s">
        <v>38</v>
      </c>
      <c r="C779" t="s">
        <v>7</v>
      </c>
      <c r="D779" t="s">
        <v>209</v>
      </c>
      <c r="E779" s="2">
        <v>45856</v>
      </c>
      <c r="F779" s="2" cm="1">
        <f t="array" ref="F779">_xlfn.IFS(B779="Owner Surrender",E779,B779="Stray",E779+6,B779="Stray w/identification",E779+11,B779="Bite",E779+10,B779="Other",Blank)</f>
        <v>45862</v>
      </c>
      <c r="G779" s="2">
        <v>45866</v>
      </c>
      <c r="H779" s="6">
        <f t="shared" si="30"/>
        <v>10</v>
      </c>
      <c r="I779" s="6">
        <f t="shared" si="31"/>
        <v>4</v>
      </c>
      <c r="J779" t="s">
        <v>31</v>
      </c>
      <c r="L779" t="s">
        <v>38</v>
      </c>
    </row>
    <row r="780" spans="1:12" x14ac:dyDescent="0.25">
      <c r="A780" s="3">
        <v>41256</v>
      </c>
      <c r="B780" s="2" t="s">
        <v>38</v>
      </c>
      <c r="C780" t="s">
        <v>7</v>
      </c>
      <c r="D780" t="s">
        <v>209</v>
      </c>
      <c r="E780" s="2">
        <v>45856</v>
      </c>
      <c r="F780" s="2" cm="1">
        <f t="array" ref="F780">_xlfn.IFS(B780="Owner Surrender",E780,B780="Stray",E780+6,B780="Stray w/identification",E780+11,B780="Bite",E780+10,B780="Other",Blank)</f>
        <v>45862</v>
      </c>
      <c r="G780" s="2">
        <v>45868</v>
      </c>
      <c r="H780" s="6">
        <f t="shared" si="30"/>
        <v>12</v>
      </c>
      <c r="I780" s="6">
        <f t="shared" si="31"/>
        <v>6</v>
      </c>
      <c r="J780" t="s">
        <v>31</v>
      </c>
      <c r="L780" t="s">
        <v>38</v>
      </c>
    </row>
    <row r="781" spans="1:12" x14ac:dyDescent="0.25">
      <c r="A781" s="3">
        <v>41257</v>
      </c>
      <c r="B781" s="2" t="s">
        <v>36</v>
      </c>
      <c r="C781" t="s">
        <v>7</v>
      </c>
      <c r="D781" t="s">
        <v>208</v>
      </c>
      <c r="E781" s="2">
        <v>45856</v>
      </c>
      <c r="F781" s="2" cm="1">
        <f t="array" ref="F781">_xlfn.IFS(B781="Owner Surrender",E781,B781="Stray",E781+6,B781="Stray w/identification",E781+11,B781="Bite",E781+10,B781="Other",Blank)</f>
        <v>45856</v>
      </c>
      <c r="G781" s="2">
        <v>45866</v>
      </c>
      <c r="H781" s="6">
        <f t="shared" si="30"/>
        <v>10</v>
      </c>
      <c r="I781" s="6">
        <f t="shared" si="31"/>
        <v>10</v>
      </c>
      <c r="J781" t="s">
        <v>31</v>
      </c>
      <c r="L781" t="s">
        <v>36</v>
      </c>
    </row>
    <row r="782" spans="1:12" x14ac:dyDescent="0.25">
      <c r="A782" s="3">
        <v>41258</v>
      </c>
      <c r="B782" s="2" t="s">
        <v>38</v>
      </c>
      <c r="C782" t="s">
        <v>7</v>
      </c>
      <c r="D782" t="s">
        <v>211</v>
      </c>
      <c r="E782" s="2">
        <v>45857</v>
      </c>
      <c r="F782" s="2" cm="1">
        <f t="array" ref="F782">_xlfn.IFS(B782="Owner Surrender",E782,B782="Stray",E782+6,B782="Stray w/identification",E782+11,B782="Bite",E782+10,B782="Other",Blank)</f>
        <v>45863</v>
      </c>
      <c r="G782" s="2">
        <v>45863</v>
      </c>
      <c r="H782" s="6">
        <f t="shared" si="30"/>
        <v>6</v>
      </c>
      <c r="I782" s="6">
        <f t="shared" si="31"/>
        <v>0</v>
      </c>
      <c r="J782" t="s">
        <v>31</v>
      </c>
      <c r="L782" t="s">
        <v>38</v>
      </c>
    </row>
    <row r="783" spans="1:12" x14ac:dyDescent="0.25">
      <c r="A783" s="3">
        <v>41260</v>
      </c>
      <c r="B783" s="2" t="s">
        <v>36</v>
      </c>
      <c r="C783" t="s">
        <v>7</v>
      </c>
      <c r="D783" t="s">
        <v>208</v>
      </c>
      <c r="E783" s="2">
        <v>45859</v>
      </c>
      <c r="F783" s="2" cm="1">
        <f t="array" ref="F783">_xlfn.IFS(B783="Owner Surrender",E783,B783="Stray",E783+6,B783="Stray w/identification",E783+11,B783="Bite",E783+10,B783="Other",Blank)</f>
        <v>45859</v>
      </c>
      <c r="G783" s="2">
        <v>45876</v>
      </c>
      <c r="H783" s="6">
        <f t="shared" si="30"/>
        <v>17</v>
      </c>
      <c r="I783" s="6">
        <f t="shared" si="31"/>
        <v>17</v>
      </c>
      <c r="J783" s="2" t="s">
        <v>31</v>
      </c>
      <c r="L783" t="s">
        <v>155</v>
      </c>
    </row>
    <row r="784" spans="1:12" x14ac:dyDescent="0.25">
      <c r="A784" s="3">
        <v>41262</v>
      </c>
      <c r="B784" s="2" t="s">
        <v>36</v>
      </c>
      <c r="C784" t="s">
        <v>7</v>
      </c>
      <c r="D784" t="s">
        <v>209</v>
      </c>
      <c r="E784" s="2">
        <v>45859</v>
      </c>
      <c r="F784" s="2" cm="1">
        <f t="array" ref="F784">_xlfn.IFS(B784="Owner Surrender",E784,B784="Stray",E784+6,B784="Stray w/identification",E784+11,B784="Bite",E784+10,B784="Other",Blank)</f>
        <v>45859</v>
      </c>
      <c r="J784" t="s">
        <v>21</v>
      </c>
    </row>
    <row r="785" spans="1:12" x14ac:dyDescent="0.25">
      <c r="A785" s="3">
        <v>41264</v>
      </c>
      <c r="B785" s="2" t="s">
        <v>180</v>
      </c>
      <c r="C785" t="s">
        <v>7</v>
      </c>
      <c r="D785" t="s">
        <v>208</v>
      </c>
      <c r="E785" s="2">
        <v>45857</v>
      </c>
      <c r="F785" s="2" cm="1">
        <f t="array" ref="F785">_xlfn.IFS(B785="Owner Surrender",E785,B785="Stray",E785+6,B785="Stray w/identification",E785+11,B785="Bite",E785+10,B785="Other",Blank)</f>
        <v>45868</v>
      </c>
      <c r="G785" s="2">
        <v>45863</v>
      </c>
      <c r="H785" s="6">
        <f>+G785-E785</f>
        <v>6</v>
      </c>
      <c r="I785" s="6">
        <f>G785-F785</f>
        <v>-5</v>
      </c>
      <c r="J785" t="s">
        <v>28</v>
      </c>
      <c r="L785" t="s">
        <v>30</v>
      </c>
    </row>
    <row r="786" spans="1:12" x14ac:dyDescent="0.25">
      <c r="A786" s="3">
        <v>41265</v>
      </c>
      <c r="B786" s="2" t="s">
        <v>38</v>
      </c>
      <c r="C786" t="s">
        <v>7</v>
      </c>
      <c r="D786" t="s">
        <v>209</v>
      </c>
      <c r="E786" s="2">
        <v>45858</v>
      </c>
      <c r="F786" s="2" cm="1">
        <f t="array" ref="F786">_xlfn.IFS(B786="Owner Surrender",E786,B786="Stray",E786+6,B786="Stray w/identification",E786+11,B786="Bite",E786+10,B786="Other",Blank)</f>
        <v>45864</v>
      </c>
      <c r="G786" s="2">
        <v>45877</v>
      </c>
      <c r="H786" s="6">
        <f>+G786-E786</f>
        <v>19</v>
      </c>
      <c r="I786" s="6">
        <f>G786-F786</f>
        <v>13</v>
      </c>
      <c r="J786" s="2" t="s">
        <v>31</v>
      </c>
      <c r="K786" s="2" t="s">
        <v>156</v>
      </c>
    </row>
    <row r="787" spans="1:12" x14ac:dyDescent="0.25">
      <c r="A787" s="3">
        <v>41266</v>
      </c>
      <c r="B787" s="2" t="s">
        <v>38</v>
      </c>
      <c r="C787" t="s">
        <v>7</v>
      </c>
      <c r="D787" t="s">
        <v>209</v>
      </c>
      <c r="E787" s="2">
        <v>45857</v>
      </c>
      <c r="F787" s="2" cm="1">
        <f t="array" ref="F787">_xlfn.IFS(B787="Owner Surrender",E787,B787="Stray",E787+6,B787="Stray w/identification",E787+11,B787="Bite",E787+10,B787="Other",Blank)</f>
        <v>45863</v>
      </c>
      <c r="G787" s="2">
        <v>45874</v>
      </c>
      <c r="H787" s="6">
        <f>+G787-E787</f>
        <v>17</v>
      </c>
      <c r="I787" s="6">
        <f>G787-F787</f>
        <v>11</v>
      </c>
      <c r="J787" s="2" t="s">
        <v>31</v>
      </c>
    </row>
    <row r="788" spans="1:12" x14ac:dyDescent="0.25">
      <c r="A788" s="3">
        <v>41267</v>
      </c>
      <c r="B788" s="2" t="s">
        <v>38</v>
      </c>
      <c r="C788" t="s">
        <v>7</v>
      </c>
      <c r="D788" t="s">
        <v>209</v>
      </c>
      <c r="E788" s="2">
        <v>45857</v>
      </c>
      <c r="F788" s="2" cm="1">
        <f t="array" ref="F788">_xlfn.IFS(B788="Owner Surrender",E788,B788="Stray",E788+6,B788="Stray w/identification",E788+11,B788="Bite",E788+10,B788="Other",Blank)</f>
        <v>45863</v>
      </c>
      <c r="G788" s="2">
        <v>45874</v>
      </c>
      <c r="H788" s="6">
        <f>+G788-E788</f>
        <v>17</v>
      </c>
      <c r="I788" s="6">
        <f>G788-F788</f>
        <v>11</v>
      </c>
      <c r="J788" s="2" t="s">
        <v>31</v>
      </c>
    </row>
    <row r="789" spans="1:12" x14ac:dyDescent="0.25">
      <c r="A789" s="3">
        <v>41270</v>
      </c>
      <c r="B789" s="2" t="s">
        <v>180</v>
      </c>
      <c r="C789" t="s">
        <v>7</v>
      </c>
      <c r="D789" t="s">
        <v>209</v>
      </c>
      <c r="E789" s="2">
        <v>45859</v>
      </c>
      <c r="F789" s="2" cm="1">
        <f t="array" ref="F789">_xlfn.IFS(B789="Owner Surrender",E789,B789="Stray",E789+6,B789="Stray w/identification",E789+11,B789="Bite",E789+10,B789="Other",Blank)</f>
        <v>45870</v>
      </c>
      <c r="J789" t="s">
        <v>21</v>
      </c>
      <c r="K789" t="s">
        <v>22</v>
      </c>
    </row>
    <row r="790" spans="1:12" x14ac:dyDescent="0.25">
      <c r="A790" s="3">
        <v>41271</v>
      </c>
      <c r="B790" s="2" t="s">
        <v>38</v>
      </c>
      <c r="C790" t="s">
        <v>10</v>
      </c>
      <c r="D790" t="s">
        <v>209</v>
      </c>
      <c r="E790" s="2">
        <v>45860</v>
      </c>
      <c r="F790" s="2" cm="1">
        <f t="array" ref="F790">_xlfn.IFS(B790="Owner Surrender",E790,B790="Stray",E790+6,B790="Stray w/identification",E790+11,B790="Bite",E790+10,B790="Other",Blank)</f>
        <v>45866</v>
      </c>
      <c r="G790" s="2">
        <v>45882</v>
      </c>
      <c r="H790" s="6">
        <f t="shared" ref="H790:H807" si="32">+G790-E790</f>
        <v>22</v>
      </c>
      <c r="I790" s="6">
        <f t="shared" ref="I790:I795" si="33">G790-F790</f>
        <v>16</v>
      </c>
      <c r="J790" s="2" t="s">
        <v>31</v>
      </c>
      <c r="K790" s="2" t="s">
        <v>157</v>
      </c>
    </row>
    <row r="791" spans="1:12" x14ac:dyDescent="0.25">
      <c r="A791" s="3">
        <v>41274</v>
      </c>
      <c r="B791" s="2" t="s">
        <v>38</v>
      </c>
      <c r="C791" t="s">
        <v>7</v>
      </c>
      <c r="D791" t="s">
        <v>208</v>
      </c>
      <c r="E791" s="2">
        <v>45859</v>
      </c>
      <c r="F791" s="2" cm="1">
        <f t="array" ref="F791">_xlfn.IFS(B791="Owner Surrender",E791,B791="Stray",E791+6,B791="Stray w/identification",E791+11,B791="Bite",E791+10,B791="Other",Blank)</f>
        <v>45865</v>
      </c>
      <c r="G791" s="2">
        <v>45874</v>
      </c>
      <c r="H791" s="6">
        <f t="shared" si="32"/>
        <v>15</v>
      </c>
      <c r="I791" s="6">
        <f t="shared" si="33"/>
        <v>9</v>
      </c>
      <c r="J791" s="2" t="s">
        <v>31</v>
      </c>
    </row>
    <row r="792" spans="1:12" x14ac:dyDescent="0.25">
      <c r="A792" s="3">
        <v>41275</v>
      </c>
      <c r="B792" s="2" t="s">
        <v>38</v>
      </c>
      <c r="C792" t="s">
        <v>7</v>
      </c>
      <c r="D792" t="s">
        <v>209</v>
      </c>
      <c r="E792" s="2">
        <v>45859</v>
      </c>
      <c r="F792" s="2" cm="1">
        <f t="array" ref="F792">_xlfn.IFS(B792="Owner Surrender",E792,B792="Stray",E792+6,B792="Stray w/identification",E792+11,B792="Bite",E792+10,B792="Other",Blank)</f>
        <v>45865</v>
      </c>
      <c r="G792" s="2">
        <v>45877</v>
      </c>
      <c r="H792" s="6">
        <f t="shared" si="32"/>
        <v>18</v>
      </c>
      <c r="I792" s="6">
        <f t="shared" si="33"/>
        <v>12</v>
      </c>
      <c r="J792" s="2" t="s">
        <v>11</v>
      </c>
      <c r="K792" t="s">
        <v>184</v>
      </c>
    </row>
    <row r="793" spans="1:12" x14ac:dyDescent="0.25">
      <c r="A793" s="3">
        <v>41276</v>
      </c>
      <c r="B793" s="2" t="s">
        <v>38</v>
      </c>
      <c r="C793" t="s">
        <v>7</v>
      </c>
      <c r="D793" t="s">
        <v>209</v>
      </c>
      <c r="E793" s="2">
        <v>45859</v>
      </c>
      <c r="F793" s="2" cm="1">
        <f t="array" ref="F793">_xlfn.IFS(B793="Owner Surrender",E793,B793="Stray",E793+6,B793="Stray w/identification",E793+11,B793="Bite",E793+10,B793="Other",Blank)</f>
        <v>45865</v>
      </c>
      <c r="G793" s="2">
        <v>45885</v>
      </c>
      <c r="H793" s="6">
        <f t="shared" si="32"/>
        <v>26</v>
      </c>
      <c r="I793" s="6">
        <f t="shared" si="33"/>
        <v>20</v>
      </c>
      <c r="J793" t="s">
        <v>18</v>
      </c>
      <c r="K793" t="s">
        <v>185</v>
      </c>
      <c r="L793" t="s">
        <v>19</v>
      </c>
    </row>
    <row r="794" spans="1:12" x14ac:dyDescent="0.25">
      <c r="A794" s="3">
        <v>41278</v>
      </c>
      <c r="B794" s="2" t="s">
        <v>36</v>
      </c>
      <c r="C794" t="s">
        <v>7</v>
      </c>
      <c r="D794" t="s">
        <v>208</v>
      </c>
      <c r="E794" s="2">
        <v>45860</v>
      </c>
      <c r="F794" s="2" cm="1">
        <f t="array" ref="F794">_xlfn.IFS(B794="Owner Surrender",E794,B794="Stray",E794+6,B794="Stray w/identification",E794+11,B794="Bite",E794+10,B794="Other",Blank)</f>
        <v>45860</v>
      </c>
      <c r="G794" s="2">
        <v>45861</v>
      </c>
      <c r="H794" s="6">
        <f t="shared" si="32"/>
        <v>1</v>
      </c>
      <c r="I794" s="6">
        <f t="shared" si="33"/>
        <v>1</v>
      </c>
      <c r="J794" s="2" t="s">
        <v>31</v>
      </c>
      <c r="K794" s="2" t="s">
        <v>158</v>
      </c>
    </row>
    <row r="795" spans="1:12" x14ac:dyDescent="0.25">
      <c r="A795" s="3">
        <v>41279</v>
      </c>
      <c r="B795" s="2" t="s">
        <v>36</v>
      </c>
      <c r="C795" t="s">
        <v>7</v>
      </c>
      <c r="D795" t="s">
        <v>208</v>
      </c>
      <c r="E795" s="2">
        <v>45860</v>
      </c>
      <c r="F795" s="2" cm="1">
        <f t="array" ref="F795">_xlfn.IFS(B795="Owner Surrender",E795,B795="Stray",E795+6,B795="Stray w/identification",E795+11,B795="Bite",E795+10,B795="Other",Blank)</f>
        <v>45860</v>
      </c>
      <c r="G795" s="2">
        <v>45861</v>
      </c>
      <c r="H795" s="6">
        <f t="shared" si="32"/>
        <v>1</v>
      </c>
      <c r="I795" s="6">
        <f t="shared" si="33"/>
        <v>1</v>
      </c>
      <c r="J795" s="2" t="s">
        <v>31</v>
      </c>
      <c r="K795" s="2" t="s">
        <v>159</v>
      </c>
    </row>
    <row r="796" spans="1:12" x14ac:dyDescent="0.25">
      <c r="A796" s="3">
        <v>41283</v>
      </c>
      <c r="B796" s="2" t="s">
        <v>61</v>
      </c>
      <c r="C796" t="s">
        <v>10</v>
      </c>
      <c r="D796" t="s">
        <v>208</v>
      </c>
      <c r="E796" s="2">
        <v>45860</v>
      </c>
      <c r="F796" s="2" t="e" cm="1">
        <f t="array" ref="F796">_xlfn.IFS(B796="Owner Surrender",E796,B796="Stray",E796+6,B796="Stray w/identification",E796+11,B796="Bite",E796+10,B796="Other",Blank)</f>
        <v>#NAME?</v>
      </c>
      <c r="G796" s="2">
        <v>45878</v>
      </c>
      <c r="H796" s="6">
        <f t="shared" si="32"/>
        <v>18</v>
      </c>
      <c r="J796" t="s">
        <v>8</v>
      </c>
    </row>
    <row r="797" spans="1:12" x14ac:dyDescent="0.25">
      <c r="A797" s="3">
        <v>41305</v>
      </c>
      <c r="B797" s="2" t="s">
        <v>38</v>
      </c>
      <c r="C797" t="s">
        <v>7</v>
      </c>
      <c r="D797" t="s">
        <v>209</v>
      </c>
      <c r="E797" s="2">
        <v>45861</v>
      </c>
      <c r="F797" s="2" cm="1">
        <f t="array" ref="F797">_xlfn.IFS(B797="Owner Surrender",E797,B797="Stray",E797+6,B797="Stray w/identification",E797+11,B797="Bite",E797+10,B797="Other",Blank)</f>
        <v>45867</v>
      </c>
      <c r="G797" s="2">
        <v>45868</v>
      </c>
      <c r="H797" s="6">
        <f t="shared" si="32"/>
        <v>7</v>
      </c>
      <c r="I797" s="6">
        <f t="shared" ref="I797:I805" si="34">G797-F797</f>
        <v>1</v>
      </c>
      <c r="J797" t="s">
        <v>31</v>
      </c>
      <c r="L797" t="s">
        <v>38</v>
      </c>
    </row>
    <row r="798" spans="1:12" x14ac:dyDescent="0.25">
      <c r="A798" s="3">
        <v>41310</v>
      </c>
      <c r="B798" s="2" t="s">
        <v>42</v>
      </c>
      <c r="C798" t="s">
        <v>7</v>
      </c>
      <c r="D798" t="s">
        <v>208</v>
      </c>
      <c r="E798" s="2">
        <v>45862</v>
      </c>
      <c r="F798" s="2" cm="1">
        <f t="array" ref="F798">_xlfn.IFS(B798="Owner Surrender",E798,B798="Stray",E798+6,B798="Stray w/identification",E798+11,B798="Bite",E798+10,B798="Other",Blank)</f>
        <v>45872</v>
      </c>
      <c r="G798" s="2">
        <v>45876</v>
      </c>
      <c r="H798" s="6">
        <f t="shared" si="32"/>
        <v>14</v>
      </c>
      <c r="I798" s="6">
        <f t="shared" si="34"/>
        <v>4</v>
      </c>
      <c r="J798" s="2" t="s">
        <v>31</v>
      </c>
      <c r="K798" s="2" t="s">
        <v>164</v>
      </c>
    </row>
    <row r="799" spans="1:12" x14ac:dyDescent="0.25">
      <c r="A799" s="3">
        <v>41311</v>
      </c>
      <c r="B799" s="2" t="s">
        <v>38</v>
      </c>
      <c r="C799" t="s">
        <v>7</v>
      </c>
      <c r="D799" t="s">
        <v>209</v>
      </c>
      <c r="E799" s="2">
        <v>45862</v>
      </c>
      <c r="F799" s="2" cm="1">
        <f t="array" ref="F799">_xlfn.IFS(B799="Owner Surrender",E799,B799="Stray",E799+6,B799="Stray w/identification",E799+11,B799="Bite",E799+10,B799="Other",Blank)</f>
        <v>45868</v>
      </c>
      <c r="G799" s="2">
        <v>45869</v>
      </c>
      <c r="H799" s="6">
        <f t="shared" si="32"/>
        <v>7</v>
      </c>
      <c r="I799" s="6">
        <f t="shared" si="34"/>
        <v>1</v>
      </c>
      <c r="J799" t="s">
        <v>18</v>
      </c>
      <c r="L799" t="s">
        <v>19</v>
      </c>
    </row>
    <row r="800" spans="1:12" x14ac:dyDescent="0.25">
      <c r="A800" s="3">
        <v>41312</v>
      </c>
      <c r="B800" s="2" t="s">
        <v>38</v>
      </c>
      <c r="C800" t="s">
        <v>7</v>
      </c>
      <c r="D800" t="s">
        <v>209</v>
      </c>
      <c r="E800" s="2">
        <v>45862</v>
      </c>
      <c r="F800" s="2" cm="1">
        <f t="array" ref="F800">_xlfn.IFS(B800="Owner Surrender",E800,B800="Stray",E800+6,B800="Stray w/identification",E800+11,B800="Bite",E800+10,B800="Other",Blank)</f>
        <v>45868</v>
      </c>
      <c r="G800" s="2">
        <v>45869</v>
      </c>
      <c r="H800" s="6">
        <f t="shared" si="32"/>
        <v>7</v>
      </c>
      <c r="I800" s="6">
        <f t="shared" si="34"/>
        <v>1</v>
      </c>
      <c r="J800" t="s">
        <v>18</v>
      </c>
      <c r="L800" t="s">
        <v>19</v>
      </c>
    </row>
    <row r="801" spans="1:12" x14ac:dyDescent="0.25">
      <c r="A801" s="3">
        <v>41313</v>
      </c>
      <c r="B801" s="2" t="s">
        <v>38</v>
      </c>
      <c r="C801" t="s">
        <v>7</v>
      </c>
      <c r="D801" t="s">
        <v>209</v>
      </c>
      <c r="E801" s="2">
        <v>45862</v>
      </c>
      <c r="F801" s="2" cm="1">
        <f t="array" ref="F801">_xlfn.IFS(B801="Owner Surrender",E801,B801="Stray",E801+6,B801="Stray w/identification",E801+11,B801="Bite",E801+10,B801="Other",Blank)</f>
        <v>45868</v>
      </c>
      <c r="G801" s="2">
        <v>45869</v>
      </c>
      <c r="H801" s="6">
        <f t="shared" si="32"/>
        <v>7</v>
      </c>
      <c r="I801" s="6">
        <f t="shared" si="34"/>
        <v>1</v>
      </c>
      <c r="J801" t="s">
        <v>18</v>
      </c>
      <c r="L801" t="s">
        <v>19</v>
      </c>
    </row>
    <row r="802" spans="1:12" x14ac:dyDescent="0.25">
      <c r="A802" s="3">
        <v>41314</v>
      </c>
      <c r="B802" s="2" t="s">
        <v>38</v>
      </c>
      <c r="C802" t="s">
        <v>7</v>
      </c>
      <c r="D802" t="s">
        <v>209</v>
      </c>
      <c r="E802" s="2">
        <v>45862</v>
      </c>
      <c r="F802" s="2" cm="1">
        <f t="array" ref="F802">_xlfn.IFS(B802="Owner Surrender",E802,B802="Stray",E802+6,B802="Stray w/identification",E802+11,B802="Bite",E802+10,B802="Other",Blank)</f>
        <v>45868</v>
      </c>
      <c r="G802" s="2">
        <v>45869</v>
      </c>
      <c r="H802" s="6">
        <f t="shared" si="32"/>
        <v>7</v>
      </c>
      <c r="I802" s="6">
        <f t="shared" si="34"/>
        <v>1</v>
      </c>
      <c r="J802" t="s">
        <v>18</v>
      </c>
      <c r="L802" t="s">
        <v>19</v>
      </c>
    </row>
    <row r="803" spans="1:12" x14ac:dyDescent="0.25">
      <c r="A803" s="3">
        <v>41315</v>
      </c>
      <c r="B803" s="2" t="s">
        <v>38</v>
      </c>
      <c r="C803" t="s">
        <v>7</v>
      </c>
      <c r="D803" t="s">
        <v>209</v>
      </c>
      <c r="E803" s="2">
        <v>45862</v>
      </c>
      <c r="F803" s="2" cm="1">
        <f t="array" ref="F803">_xlfn.IFS(B803="Owner Surrender",E803,B803="Stray",E803+6,B803="Stray w/identification",E803+11,B803="Bite",E803+10,B803="Other",Blank)</f>
        <v>45868</v>
      </c>
      <c r="G803" s="2">
        <v>45869</v>
      </c>
      <c r="H803" s="6">
        <f t="shared" si="32"/>
        <v>7</v>
      </c>
      <c r="I803" s="6">
        <f t="shared" si="34"/>
        <v>1</v>
      </c>
      <c r="J803" t="s">
        <v>18</v>
      </c>
      <c r="L803" t="s">
        <v>19</v>
      </c>
    </row>
    <row r="804" spans="1:12" x14ac:dyDescent="0.25">
      <c r="A804" s="3">
        <v>41317</v>
      </c>
      <c r="B804" s="2" t="s">
        <v>36</v>
      </c>
      <c r="C804" t="s">
        <v>7</v>
      </c>
      <c r="D804" t="s">
        <v>208</v>
      </c>
      <c r="E804" s="2">
        <v>45862</v>
      </c>
      <c r="F804" s="2" cm="1">
        <f t="array" ref="F804">_xlfn.IFS(B804="Owner Surrender",E804,B804="Stray",E804+6,B804="Stray w/identification",E804+11,B804="Bite",E804+10,B804="Other",Blank)</f>
        <v>45862</v>
      </c>
      <c r="G804" s="2">
        <v>45881</v>
      </c>
      <c r="H804" s="6">
        <f t="shared" si="32"/>
        <v>19</v>
      </c>
      <c r="I804" s="6">
        <f t="shared" si="34"/>
        <v>19</v>
      </c>
      <c r="J804" s="2" t="s">
        <v>31</v>
      </c>
    </row>
    <row r="805" spans="1:12" x14ac:dyDescent="0.25">
      <c r="A805" s="3">
        <v>41319</v>
      </c>
      <c r="B805" s="2" t="s">
        <v>38</v>
      </c>
      <c r="C805" t="s">
        <v>7</v>
      </c>
      <c r="D805" t="s">
        <v>209</v>
      </c>
      <c r="E805" s="2">
        <v>45863</v>
      </c>
      <c r="F805" s="2" cm="1">
        <f t="array" ref="F805">_xlfn.IFS(B805="Owner Surrender",E805,B805="Stray",E805+6,B805="Stray w/identification",E805+11,B805="Bite",E805+10,B805="Other",Blank)</f>
        <v>45869</v>
      </c>
      <c r="G805" s="2">
        <v>45874</v>
      </c>
      <c r="H805" s="6">
        <f t="shared" si="32"/>
        <v>11</v>
      </c>
      <c r="I805" s="6">
        <f t="shared" si="34"/>
        <v>5</v>
      </c>
      <c r="J805" s="2" t="s">
        <v>31</v>
      </c>
    </row>
    <row r="806" spans="1:12" x14ac:dyDescent="0.25">
      <c r="A806" s="3">
        <v>41322</v>
      </c>
      <c r="B806" s="2" t="s">
        <v>61</v>
      </c>
      <c r="C806" t="s">
        <v>7</v>
      </c>
      <c r="D806" t="s">
        <v>208</v>
      </c>
      <c r="E806" s="2">
        <v>45863</v>
      </c>
      <c r="F806" s="2" t="e" cm="1">
        <f t="array" ref="F806">_xlfn.IFS(B806="Owner Surrender",E806,B806="Stray",E806+6,B806="Stray w/identification",E806+11,B806="Bite",E806+10,B806="Other",Blank)</f>
        <v>#NAME?</v>
      </c>
      <c r="G806" s="2">
        <v>45878</v>
      </c>
      <c r="H806" s="6">
        <f t="shared" si="32"/>
        <v>15</v>
      </c>
      <c r="J806" t="s">
        <v>8</v>
      </c>
      <c r="L806" t="s">
        <v>9</v>
      </c>
    </row>
    <row r="807" spans="1:12" x14ac:dyDescent="0.25">
      <c r="A807" s="4">
        <v>41323</v>
      </c>
      <c r="B807" s="2" t="s">
        <v>61</v>
      </c>
      <c r="C807" t="s">
        <v>7</v>
      </c>
      <c r="D807" t="s">
        <v>208</v>
      </c>
      <c r="E807" s="2">
        <v>45863</v>
      </c>
      <c r="F807" s="2" t="e" cm="1">
        <f t="array" ref="F807">_xlfn.IFS(B807="Owner Surrender",E807,B807="Stray",E807+6,B807="Stray w/identification",E807+11,B807="Bite",E807+10,B807="Other",Blank)</f>
        <v>#NAME?</v>
      </c>
      <c r="G807" s="2">
        <v>45878</v>
      </c>
      <c r="H807" s="6">
        <f t="shared" si="32"/>
        <v>15</v>
      </c>
      <c r="J807" t="s">
        <v>8</v>
      </c>
      <c r="L807" t="s">
        <v>9</v>
      </c>
    </row>
    <row r="808" spans="1:12" x14ac:dyDescent="0.25">
      <c r="A808" s="3">
        <v>41324</v>
      </c>
      <c r="B808" s="2" t="s">
        <v>36</v>
      </c>
      <c r="C808" t="s">
        <v>7</v>
      </c>
      <c r="D808" t="s">
        <v>209</v>
      </c>
      <c r="E808" s="2">
        <v>45864</v>
      </c>
      <c r="F808" s="2" cm="1">
        <f t="array" ref="F808">_xlfn.IFS(B808="Owner Surrender",E808,B808="Stray",E808+6,B808="Stray w/identification",E808+11,B808="Bite",E808+10,B808="Other",Blank)</f>
        <v>45864</v>
      </c>
      <c r="J808" t="s">
        <v>21</v>
      </c>
      <c r="K808" t="s">
        <v>25</v>
      </c>
    </row>
    <row r="809" spans="1:12" x14ac:dyDescent="0.25">
      <c r="A809" s="3">
        <v>41325</v>
      </c>
      <c r="B809" s="2" t="s">
        <v>36</v>
      </c>
      <c r="C809" t="s">
        <v>7</v>
      </c>
      <c r="D809" t="s">
        <v>209</v>
      </c>
      <c r="E809" s="2">
        <v>45864</v>
      </c>
      <c r="F809" s="2" cm="1">
        <f t="array" ref="F809">_xlfn.IFS(B809="Owner Surrender",E809,B809="Stray",E809+6,B809="Stray w/identification",E809+11,B809="Bite",E809+10,B809="Other",Blank)</f>
        <v>45864</v>
      </c>
      <c r="J809" s="2" t="s">
        <v>21</v>
      </c>
      <c r="K809" s="2" t="s">
        <v>106</v>
      </c>
    </row>
    <row r="810" spans="1:12" x14ac:dyDescent="0.25">
      <c r="A810" s="3">
        <v>41327</v>
      </c>
      <c r="B810" s="2" t="s">
        <v>38</v>
      </c>
      <c r="C810" t="s">
        <v>7</v>
      </c>
      <c r="D810" t="s">
        <v>209</v>
      </c>
      <c r="E810" s="2">
        <v>45864</v>
      </c>
      <c r="F810" s="2" cm="1">
        <f t="array" ref="F810">_xlfn.IFS(B810="Owner Surrender",E810,B810="Stray",E810+6,B810="Stray w/identification",E810+11,B810="Bite",E810+10,B810="Other",Blank)</f>
        <v>45870</v>
      </c>
      <c r="G810" s="2">
        <v>45865</v>
      </c>
      <c r="H810" s="6">
        <f t="shared" ref="H810:H841" si="35">+G810-E810</f>
        <v>1</v>
      </c>
      <c r="I810" s="6">
        <f t="shared" ref="I810:I841" si="36">G810-F810</f>
        <v>-5</v>
      </c>
      <c r="J810" t="s">
        <v>31</v>
      </c>
      <c r="L810" t="s">
        <v>33</v>
      </c>
    </row>
    <row r="811" spans="1:12" x14ac:dyDescent="0.25">
      <c r="A811" s="3">
        <v>41328</v>
      </c>
      <c r="B811" s="2" t="s">
        <v>38</v>
      </c>
      <c r="C811" t="s">
        <v>10</v>
      </c>
      <c r="D811" t="s">
        <v>209</v>
      </c>
      <c r="E811" s="2">
        <v>45864</v>
      </c>
      <c r="F811" s="2" cm="1">
        <f t="array" ref="F811">_xlfn.IFS(B811="Owner Surrender",E811,B811="Stray",E811+6,B811="Stray w/identification",E811+11,B811="Bite",E811+10,B811="Other",Blank)</f>
        <v>45870</v>
      </c>
      <c r="G811" s="2">
        <v>45882</v>
      </c>
      <c r="H811" s="6">
        <f t="shared" si="35"/>
        <v>18</v>
      </c>
      <c r="I811" s="6">
        <f t="shared" si="36"/>
        <v>12</v>
      </c>
      <c r="J811" s="2" t="s">
        <v>11</v>
      </c>
    </row>
    <row r="812" spans="1:12" x14ac:dyDescent="0.25">
      <c r="A812" s="3">
        <v>41336</v>
      </c>
      <c r="B812" s="2" t="s">
        <v>36</v>
      </c>
      <c r="C812" t="s">
        <v>45</v>
      </c>
      <c r="D812" t="s">
        <v>208</v>
      </c>
      <c r="E812" s="2">
        <v>45866</v>
      </c>
      <c r="F812" s="2" cm="1">
        <f t="array" ref="F812">_xlfn.IFS(B812="Owner Surrender",E812,B812="Stray",E812+6,B812="Stray w/identification",E812+11,B812="Bite",E812+10,B812="Other",Blank)</f>
        <v>45866</v>
      </c>
      <c r="G812" s="2">
        <v>45866</v>
      </c>
      <c r="H812" s="6">
        <f t="shared" si="35"/>
        <v>0</v>
      </c>
      <c r="I812" s="6">
        <f t="shared" si="36"/>
        <v>0</v>
      </c>
      <c r="J812" s="2" t="s">
        <v>31</v>
      </c>
      <c r="L812" t="s">
        <v>46</v>
      </c>
    </row>
    <row r="813" spans="1:12" x14ac:dyDescent="0.25">
      <c r="A813" s="3">
        <v>41337</v>
      </c>
      <c r="B813" s="2" t="s">
        <v>38</v>
      </c>
      <c r="C813" t="s">
        <v>7</v>
      </c>
      <c r="D813" t="s">
        <v>209</v>
      </c>
      <c r="E813" s="2">
        <v>45866</v>
      </c>
      <c r="F813" s="2" cm="1">
        <f t="array" ref="F813">_xlfn.IFS(B813="Owner Surrender",E813,B813="Stray",E813+6,B813="Stray w/identification",E813+11,B813="Bite",E813+10,B813="Other",Blank)</f>
        <v>45872</v>
      </c>
      <c r="G813" s="2">
        <v>45866</v>
      </c>
      <c r="H813" s="6">
        <f t="shared" si="35"/>
        <v>0</v>
      </c>
      <c r="I813" s="6">
        <f t="shared" si="36"/>
        <v>-6</v>
      </c>
      <c r="J813" s="2" t="s">
        <v>31</v>
      </c>
      <c r="L813" t="s">
        <v>167</v>
      </c>
    </row>
    <row r="814" spans="1:12" x14ac:dyDescent="0.25">
      <c r="A814" s="3">
        <v>41340</v>
      </c>
      <c r="B814" s="2" t="s">
        <v>38</v>
      </c>
      <c r="C814" t="s">
        <v>7</v>
      </c>
      <c r="D814" t="s">
        <v>209</v>
      </c>
      <c r="E814" s="2">
        <v>45866</v>
      </c>
      <c r="F814" s="2" cm="1">
        <f t="array" ref="F814">_xlfn.IFS(B814="Owner Surrender",E814,B814="Stray",E814+6,B814="Stray w/identification",E814+11,B814="Bite",E814+10,B814="Other",Blank)</f>
        <v>45872</v>
      </c>
      <c r="G814" s="2">
        <v>45874</v>
      </c>
      <c r="H814" s="6">
        <f t="shared" si="35"/>
        <v>8</v>
      </c>
      <c r="I814" s="6">
        <f t="shared" si="36"/>
        <v>2</v>
      </c>
      <c r="J814" s="2" t="s">
        <v>31</v>
      </c>
      <c r="L814" t="s">
        <v>34</v>
      </c>
    </row>
    <row r="815" spans="1:12" x14ac:dyDescent="0.25">
      <c r="A815" s="3">
        <v>41341</v>
      </c>
      <c r="B815" s="2" t="s">
        <v>38</v>
      </c>
      <c r="C815" t="s">
        <v>7</v>
      </c>
      <c r="D815" t="s">
        <v>209</v>
      </c>
      <c r="E815" s="2">
        <v>45866</v>
      </c>
      <c r="F815" s="2" cm="1">
        <f t="array" ref="F815">_xlfn.IFS(B815="Owner Surrender",E815,B815="Stray",E815+6,B815="Stray w/identification",E815+11,B815="Bite",E815+10,B815="Other",Blank)</f>
        <v>45872</v>
      </c>
      <c r="G815" s="2">
        <v>45874</v>
      </c>
      <c r="H815" s="6">
        <f t="shared" si="35"/>
        <v>8</v>
      </c>
      <c r="I815" s="6">
        <f t="shared" si="36"/>
        <v>2</v>
      </c>
      <c r="J815" s="2" t="s">
        <v>31</v>
      </c>
      <c r="L815" t="s">
        <v>34</v>
      </c>
    </row>
    <row r="816" spans="1:12" x14ac:dyDescent="0.25">
      <c r="A816" s="3">
        <v>41344</v>
      </c>
      <c r="B816" s="2" t="s">
        <v>38</v>
      </c>
      <c r="C816" t="s">
        <v>10</v>
      </c>
      <c r="D816" t="s">
        <v>209</v>
      </c>
      <c r="E816" s="2">
        <v>45866</v>
      </c>
      <c r="F816" s="2" cm="1">
        <f t="array" ref="F816">_xlfn.IFS(B816="Owner Surrender",E816,B816="Stray",E816+6,B816="Stray w/identification",E816+11,B816="Bite",E816+10,B816="Other",Blank)</f>
        <v>45872</v>
      </c>
      <c r="G816" s="2">
        <v>45874</v>
      </c>
      <c r="H816" s="6">
        <f t="shared" si="35"/>
        <v>8</v>
      </c>
      <c r="I816" s="6">
        <f t="shared" si="36"/>
        <v>2</v>
      </c>
      <c r="J816" s="2" t="s">
        <v>31</v>
      </c>
    </row>
    <row r="817" spans="1:12" x14ac:dyDescent="0.25">
      <c r="A817" s="3">
        <v>41349</v>
      </c>
      <c r="B817" s="2" t="s">
        <v>36</v>
      </c>
      <c r="C817" t="s">
        <v>7</v>
      </c>
      <c r="D817" t="s">
        <v>208</v>
      </c>
      <c r="E817" s="2">
        <v>45867</v>
      </c>
      <c r="F817" s="2" cm="1">
        <f t="array" ref="F817">_xlfn.IFS(B817="Owner Surrender",E817,B817="Stray",E817+6,B817="Stray w/identification",E817+11,B817="Bite",E817+10,B817="Other",Blank)</f>
        <v>45867</v>
      </c>
      <c r="G817" s="2">
        <v>45870</v>
      </c>
      <c r="H817" s="6">
        <f t="shared" si="35"/>
        <v>3</v>
      </c>
      <c r="I817" s="6">
        <f t="shared" si="36"/>
        <v>3</v>
      </c>
      <c r="J817" s="2" t="s">
        <v>31</v>
      </c>
    </row>
    <row r="818" spans="1:12" x14ac:dyDescent="0.25">
      <c r="A818" s="3">
        <v>41350</v>
      </c>
      <c r="B818" s="2" t="s">
        <v>36</v>
      </c>
      <c r="C818" t="s">
        <v>7</v>
      </c>
      <c r="D818" t="s">
        <v>209</v>
      </c>
      <c r="E818" s="2">
        <v>45867</v>
      </c>
      <c r="F818" s="2" cm="1">
        <f t="array" ref="F818">_xlfn.IFS(B818="Owner Surrender",E818,B818="Stray",E818+6,B818="Stray w/identification",E818+11,B818="Bite",E818+10,B818="Other",Blank)</f>
        <v>45867</v>
      </c>
      <c r="G818" s="2">
        <v>45870</v>
      </c>
      <c r="H818" s="6">
        <f t="shared" si="35"/>
        <v>3</v>
      </c>
      <c r="I818" s="6">
        <f t="shared" si="36"/>
        <v>3</v>
      </c>
      <c r="J818" s="2" t="s">
        <v>31</v>
      </c>
    </row>
    <row r="819" spans="1:12" x14ac:dyDescent="0.25">
      <c r="A819" s="3">
        <v>41351</v>
      </c>
      <c r="B819" s="2" t="s">
        <v>36</v>
      </c>
      <c r="C819" t="s">
        <v>7</v>
      </c>
      <c r="D819" t="s">
        <v>209</v>
      </c>
      <c r="E819" s="2">
        <v>45867</v>
      </c>
      <c r="F819" s="2" cm="1">
        <f t="array" ref="F819">_xlfn.IFS(B819="Owner Surrender",E819,B819="Stray",E819+6,B819="Stray w/identification",E819+11,B819="Bite",E819+10,B819="Other",Blank)</f>
        <v>45867</v>
      </c>
      <c r="G819" s="2">
        <v>45870</v>
      </c>
      <c r="H819" s="6">
        <f t="shared" si="35"/>
        <v>3</v>
      </c>
      <c r="I819" s="6">
        <f t="shared" si="36"/>
        <v>3</v>
      </c>
      <c r="J819" s="2" t="s">
        <v>31</v>
      </c>
    </row>
    <row r="820" spans="1:12" x14ac:dyDescent="0.25">
      <c r="A820" s="3">
        <v>41352</v>
      </c>
      <c r="B820" s="2" t="s">
        <v>36</v>
      </c>
      <c r="C820" t="s">
        <v>7</v>
      </c>
      <c r="D820" t="s">
        <v>209</v>
      </c>
      <c r="E820" s="2">
        <v>45867</v>
      </c>
      <c r="F820" s="2" cm="1">
        <f t="array" ref="F820">_xlfn.IFS(B820="Owner Surrender",E820,B820="Stray",E820+6,B820="Stray w/identification",E820+11,B820="Bite",E820+10,B820="Other",Blank)</f>
        <v>45867</v>
      </c>
      <c r="G820" s="2">
        <v>45870</v>
      </c>
      <c r="H820" s="6">
        <f t="shared" si="35"/>
        <v>3</v>
      </c>
      <c r="I820" s="6">
        <f t="shared" si="36"/>
        <v>3</v>
      </c>
      <c r="J820" s="2" t="s">
        <v>31</v>
      </c>
    </row>
    <row r="821" spans="1:12" x14ac:dyDescent="0.25">
      <c r="A821" s="3">
        <v>41353</v>
      </c>
      <c r="B821" s="2" t="s">
        <v>36</v>
      </c>
      <c r="C821" t="s">
        <v>7</v>
      </c>
      <c r="D821" t="s">
        <v>209</v>
      </c>
      <c r="E821" s="2">
        <v>45867</v>
      </c>
      <c r="F821" s="2" cm="1">
        <f t="array" ref="F821">_xlfn.IFS(B821="Owner Surrender",E821,B821="Stray",E821+6,B821="Stray w/identification",E821+11,B821="Bite",E821+10,B821="Other",Blank)</f>
        <v>45867</v>
      </c>
      <c r="G821" s="2">
        <v>45870</v>
      </c>
      <c r="H821" s="6">
        <f t="shared" si="35"/>
        <v>3</v>
      </c>
      <c r="I821" s="6">
        <f t="shared" si="36"/>
        <v>3</v>
      </c>
      <c r="J821" s="2" t="s">
        <v>31</v>
      </c>
    </row>
    <row r="822" spans="1:12" x14ac:dyDescent="0.25">
      <c r="A822" s="3">
        <v>41354</v>
      </c>
      <c r="B822" s="2" t="s">
        <v>36</v>
      </c>
      <c r="C822" t="s">
        <v>7</v>
      </c>
      <c r="D822" t="s">
        <v>209</v>
      </c>
      <c r="E822" s="2">
        <v>45867</v>
      </c>
      <c r="F822" s="2" cm="1">
        <f t="array" ref="F822">_xlfn.IFS(B822="Owner Surrender",E822,B822="Stray",E822+6,B822="Stray w/identification",E822+11,B822="Bite",E822+10,B822="Other",Blank)</f>
        <v>45867</v>
      </c>
      <c r="G822" s="2">
        <v>45870</v>
      </c>
      <c r="H822" s="6">
        <f t="shared" si="35"/>
        <v>3</v>
      </c>
      <c r="I822" s="6">
        <f t="shared" si="36"/>
        <v>3</v>
      </c>
      <c r="J822" s="2" t="s">
        <v>31</v>
      </c>
    </row>
    <row r="823" spans="1:12" x14ac:dyDescent="0.25">
      <c r="A823" s="3">
        <v>41355</v>
      </c>
      <c r="B823" s="2" t="s">
        <v>36</v>
      </c>
      <c r="C823" t="s">
        <v>7</v>
      </c>
      <c r="D823" t="s">
        <v>208</v>
      </c>
      <c r="E823" s="2">
        <v>45867</v>
      </c>
      <c r="F823" s="2" cm="1">
        <f t="array" ref="F823">_xlfn.IFS(B823="Owner Surrender",E823,B823="Stray",E823+6,B823="Stray w/identification",E823+11,B823="Bite",E823+10,B823="Other",Blank)</f>
        <v>45867</v>
      </c>
      <c r="G823" s="2">
        <v>45870</v>
      </c>
      <c r="H823" s="6">
        <f t="shared" si="35"/>
        <v>3</v>
      </c>
      <c r="I823" s="6">
        <f t="shared" si="36"/>
        <v>3</v>
      </c>
      <c r="J823" s="2" t="s">
        <v>31</v>
      </c>
    </row>
    <row r="824" spans="1:12" x14ac:dyDescent="0.25">
      <c r="A824" s="3">
        <v>41356</v>
      </c>
      <c r="B824" s="2" t="s">
        <v>36</v>
      </c>
      <c r="C824" t="s">
        <v>7</v>
      </c>
      <c r="D824" t="s">
        <v>209</v>
      </c>
      <c r="E824" s="2">
        <v>45867</v>
      </c>
      <c r="F824" s="2" cm="1">
        <f t="array" ref="F824">_xlfn.IFS(B824="Owner Surrender",E824,B824="Stray",E824+6,B824="Stray w/identification",E824+11,B824="Bite",E824+10,B824="Other",Blank)</f>
        <v>45867</v>
      </c>
      <c r="G824" s="2">
        <v>45870</v>
      </c>
      <c r="H824" s="6">
        <f t="shared" si="35"/>
        <v>3</v>
      </c>
      <c r="I824" s="6">
        <f t="shared" si="36"/>
        <v>3</v>
      </c>
      <c r="J824" s="2" t="s">
        <v>31</v>
      </c>
    </row>
    <row r="825" spans="1:12" x14ac:dyDescent="0.25">
      <c r="A825" s="3">
        <v>41357</v>
      </c>
      <c r="B825" s="2" t="s">
        <v>36</v>
      </c>
      <c r="C825" t="s">
        <v>7</v>
      </c>
      <c r="D825" t="s">
        <v>209</v>
      </c>
      <c r="E825" s="2">
        <v>45867</v>
      </c>
      <c r="F825" s="2" cm="1">
        <f t="array" ref="F825">_xlfn.IFS(B825="Owner Surrender",E825,B825="Stray",E825+6,B825="Stray w/identification",E825+11,B825="Bite",E825+10,B825="Other",Blank)</f>
        <v>45867</v>
      </c>
      <c r="G825" s="2">
        <v>45870</v>
      </c>
      <c r="H825" s="6">
        <f t="shared" si="35"/>
        <v>3</v>
      </c>
      <c r="I825" s="6">
        <f t="shared" si="36"/>
        <v>3</v>
      </c>
      <c r="J825" s="2" t="s">
        <v>31</v>
      </c>
    </row>
    <row r="826" spans="1:12" x14ac:dyDescent="0.25">
      <c r="A826" s="3">
        <v>41358</v>
      </c>
      <c r="B826" s="2" t="s">
        <v>36</v>
      </c>
      <c r="C826" t="s">
        <v>7</v>
      </c>
      <c r="D826" t="s">
        <v>209</v>
      </c>
      <c r="E826" s="2">
        <v>45867</v>
      </c>
      <c r="F826" s="2" cm="1">
        <f t="array" ref="F826">_xlfn.IFS(B826="Owner Surrender",E826,B826="Stray",E826+6,B826="Stray w/identification",E826+11,B826="Bite",E826+10,B826="Other",Blank)</f>
        <v>45867</v>
      </c>
      <c r="G826" s="2">
        <v>45870</v>
      </c>
      <c r="H826" s="6">
        <f t="shared" si="35"/>
        <v>3</v>
      </c>
      <c r="I826" s="6">
        <f t="shared" si="36"/>
        <v>3</v>
      </c>
      <c r="J826" s="2" t="s">
        <v>31</v>
      </c>
    </row>
    <row r="827" spans="1:12" x14ac:dyDescent="0.25">
      <c r="A827" s="3">
        <v>41359</v>
      </c>
      <c r="B827" s="2" t="s">
        <v>36</v>
      </c>
      <c r="C827" t="s">
        <v>7</v>
      </c>
      <c r="D827" t="s">
        <v>209</v>
      </c>
      <c r="E827" s="2">
        <v>45867</v>
      </c>
      <c r="F827" s="2" cm="1">
        <f t="array" ref="F827">_xlfn.IFS(B827="Owner Surrender",E827,B827="Stray",E827+6,B827="Stray w/identification",E827+11,B827="Bite",E827+10,B827="Other",Blank)</f>
        <v>45867</v>
      </c>
      <c r="G827" s="2">
        <v>45870</v>
      </c>
      <c r="H827" s="6">
        <f t="shared" si="35"/>
        <v>3</v>
      </c>
      <c r="I827" s="6">
        <f t="shared" si="36"/>
        <v>3</v>
      </c>
      <c r="J827" s="2" t="s">
        <v>31</v>
      </c>
    </row>
    <row r="828" spans="1:12" x14ac:dyDescent="0.25">
      <c r="A828" s="3">
        <v>41360</v>
      </c>
      <c r="B828" s="2" t="s">
        <v>36</v>
      </c>
      <c r="C828" t="s">
        <v>7</v>
      </c>
      <c r="D828" t="s">
        <v>209</v>
      </c>
      <c r="E828" s="2">
        <v>45867</v>
      </c>
      <c r="F828" s="2" cm="1">
        <f t="array" ref="F828">_xlfn.IFS(B828="Owner Surrender",E828,B828="Stray",E828+6,B828="Stray w/identification",E828+11,B828="Bite",E828+10,B828="Other",Blank)</f>
        <v>45867</v>
      </c>
      <c r="G828" s="2">
        <v>45870</v>
      </c>
      <c r="H828" s="6">
        <f t="shared" si="35"/>
        <v>3</v>
      </c>
      <c r="I828" s="6">
        <f t="shared" si="36"/>
        <v>3</v>
      </c>
      <c r="J828" s="2" t="s">
        <v>31</v>
      </c>
    </row>
    <row r="829" spans="1:12" x14ac:dyDescent="0.25">
      <c r="A829" s="3">
        <v>41362</v>
      </c>
      <c r="B829" s="2" t="s">
        <v>38</v>
      </c>
      <c r="C829" t="s">
        <v>7</v>
      </c>
      <c r="D829" t="s">
        <v>209</v>
      </c>
      <c r="E829" s="2">
        <v>45867</v>
      </c>
      <c r="F829" s="2" cm="1">
        <f t="array" ref="F829">_xlfn.IFS(B829="Owner Surrender",E829,B829="Stray",E829+6,B829="Stray w/identification",E829+11,B829="Bite",E829+10,B829="Other",Blank)</f>
        <v>45873</v>
      </c>
      <c r="G829" s="2">
        <v>45867</v>
      </c>
      <c r="H829" s="6">
        <f t="shared" si="35"/>
        <v>0</v>
      </c>
      <c r="I829" s="6">
        <f t="shared" si="36"/>
        <v>-6</v>
      </c>
      <c r="J829" t="s">
        <v>31</v>
      </c>
      <c r="L829" t="s">
        <v>33</v>
      </c>
    </row>
    <row r="830" spans="1:12" x14ac:dyDescent="0.25">
      <c r="A830" s="3">
        <v>41363</v>
      </c>
      <c r="B830" s="2" t="s">
        <v>36</v>
      </c>
      <c r="C830" t="s">
        <v>7</v>
      </c>
      <c r="D830" t="s">
        <v>209</v>
      </c>
      <c r="E830" s="2">
        <v>45867</v>
      </c>
      <c r="F830" s="2" cm="1">
        <f t="array" ref="F830">_xlfn.IFS(B830="Owner Surrender",E830,B830="Stray",E830+6,B830="Stray w/identification",E830+11,B830="Bite",E830+10,B830="Other",Blank)</f>
        <v>45867</v>
      </c>
      <c r="G830" s="2">
        <v>45868</v>
      </c>
      <c r="H830" s="6">
        <f t="shared" si="35"/>
        <v>1</v>
      </c>
      <c r="I830" s="6">
        <f t="shared" si="36"/>
        <v>1</v>
      </c>
      <c r="J830" s="2" t="s">
        <v>31</v>
      </c>
    </row>
    <row r="831" spans="1:12" x14ac:dyDescent="0.25">
      <c r="A831" s="3">
        <v>41364</v>
      </c>
      <c r="B831" s="2" t="s">
        <v>36</v>
      </c>
      <c r="C831" t="s">
        <v>7</v>
      </c>
      <c r="D831" t="s">
        <v>209</v>
      </c>
      <c r="E831" s="2">
        <v>45867</v>
      </c>
      <c r="F831" s="2" cm="1">
        <f t="array" ref="F831">_xlfn.IFS(B831="Owner Surrender",E831,B831="Stray",E831+6,B831="Stray w/identification",E831+11,B831="Bite",E831+10,B831="Other",Blank)</f>
        <v>45867</v>
      </c>
      <c r="G831" s="2">
        <v>45868</v>
      </c>
      <c r="H831" s="6">
        <f t="shared" si="35"/>
        <v>1</v>
      </c>
      <c r="I831" s="6">
        <f t="shared" si="36"/>
        <v>1</v>
      </c>
      <c r="J831" s="2" t="s">
        <v>31</v>
      </c>
    </row>
    <row r="832" spans="1:12" x14ac:dyDescent="0.25">
      <c r="A832" s="3">
        <v>41365</v>
      </c>
      <c r="B832" s="2" t="s">
        <v>36</v>
      </c>
      <c r="C832" t="s">
        <v>7</v>
      </c>
      <c r="D832" t="s">
        <v>209</v>
      </c>
      <c r="E832" s="2">
        <v>45867</v>
      </c>
      <c r="F832" s="2" cm="1">
        <f t="array" ref="F832">_xlfn.IFS(B832="Owner Surrender",E832,B832="Stray",E832+6,B832="Stray w/identification",E832+11,B832="Bite",E832+10,B832="Other",Blank)</f>
        <v>45867</v>
      </c>
      <c r="G832" s="2">
        <v>45868</v>
      </c>
      <c r="H832" s="6">
        <f t="shared" si="35"/>
        <v>1</v>
      </c>
      <c r="I832" s="6">
        <f t="shared" si="36"/>
        <v>1</v>
      </c>
      <c r="J832" s="2" t="s">
        <v>31</v>
      </c>
    </row>
    <row r="833" spans="1:12" x14ac:dyDescent="0.25">
      <c r="A833" s="3">
        <v>41368</v>
      </c>
      <c r="B833" s="2" t="s">
        <v>38</v>
      </c>
      <c r="C833" t="s">
        <v>7</v>
      </c>
      <c r="D833" t="s">
        <v>209</v>
      </c>
      <c r="E833" s="2">
        <v>45868</v>
      </c>
      <c r="F833" s="2" cm="1">
        <f t="array" ref="F833">_xlfn.IFS(B833="Owner Surrender",E833,B833="Stray",E833+6,B833="Stray w/identification",E833+11,B833="Bite",E833+10,B833="Other",Blank)</f>
        <v>45874</v>
      </c>
      <c r="G833" s="2">
        <v>45874</v>
      </c>
      <c r="H833" s="6">
        <f t="shared" si="35"/>
        <v>6</v>
      </c>
      <c r="I833" s="6">
        <f t="shared" si="36"/>
        <v>0</v>
      </c>
      <c r="J833" s="2" t="s">
        <v>31</v>
      </c>
      <c r="L833" t="s">
        <v>34</v>
      </c>
    </row>
    <row r="834" spans="1:12" x14ac:dyDescent="0.25">
      <c r="A834" s="3">
        <v>41369</v>
      </c>
      <c r="B834" s="2" t="s">
        <v>38</v>
      </c>
      <c r="C834" t="s">
        <v>7</v>
      </c>
      <c r="D834" t="s">
        <v>208</v>
      </c>
      <c r="E834" s="2">
        <v>45868</v>
      </c>
      <c r="F834" s="2" cm="1">
        <f t="array" ref="F834">_xlfn.IFS(B834="Owner Surrender",E834,B834="Stray",E834+6,B834="Stray w/identification",E834+11,B834="Bite",E834+10,B834="Other",Blank)</f>
        <v>45874</v>
      </c>
      <c r="G834" s="2">
        <v>45874</v>
      </c>
      <c r="H834" s="6">
        <f t="shared" si="35"/>
        <v>6</v>
      </c>
      <c r="I834" s="6">
        <f t="shared" si="36"/>
        <v>0</v>
      </c>
      <c r="J834" s="2" t="s">
        <v>31</v>
      </c>
      <c r="L834" t="s">
        <v>34</v>
      </c>
    </row>
    <row r="835" spans="1:12" x14ac:dyDescent="0.25">
      <c r="A835" s="3">
        <v>41370</v>
      </c>
      <c r="B835" s="2" t="s">
        <v>38</v>
      </c>
      <c r="C835" t="s">
        <v>7</v>
      </c>
      <c r="D835" t="s">
        <v>209</v>
      </c>
      <c r="E835" s="2">
        <v>45868</v>
      </c>
      <c r="F835" s="2" cm="1">
        <f t="array" ref="F835">_xlfn.IFS(B835="Owner Surrender",E835,B835="Stray",E835+6,B835="Stray w/identification",E835+11,B835="Bite",E835+10,B835="Other",Blank)</f>
        <v>45874</v>
      </c>
      <c r="G835" s="2">
        <v>45874</v>
      </c>
      <c r="H835" s="6">
        <f t="shared" si="35"/>
        <v>6</v>
      </c>
      <c r="I835" s="6">
        <f t="shared" si="36"/>
        <v>0</v>
      </c>
      <c r="J835" s="2" t="s">
        <v>31</v>
      </c>
      <c r="L835" t="s">
        <v>34</v>
      </c>
    </row>
    <row r="836" spans="1:12" x14ac:dyDescent="0.25">
      <c r="A836" s="3">
        <v>41371</v>
      </c>
      <c r="B836" s="2" t="s">
        <v>38</v>
      </c>
      <c r="C836" t="s">
        <v>7</v>
      </c>
      <c r="D836" t="s">
        <v>209</v>
      </c>
      <c r="E836" s="2">
        <v>45868</v>
      </c>
      <c r="F836" s="2" cm="1">
        <f t="array" ref="F836">_xlfn.IFS(B836="Owner Surrender",E836,B836="Stray",E836+6,B836="Stray w/identification",E836+11,B836="Bite",E836+10,B836="Other",Blank)</f>
        <v>45874</v>
      </c>
      <c r="G836" s="2">
        <v>45874</v>
      </c>
      <c r="H836" s="6">
        <f t="shared" si="35"/>
        <v>6</v>
      </c>
      <c r="I836" s="6">
        <f t="shared" si="36"/>
        <v>0</v>
      </c>
      <c r="J836" s="2" t="s">
        <v>31</v>
      </c>
      <c r="L836" t="s">
        <v>34</v>
      </c>
    </row>
    <row r="837" spans="1:12" x14ac:dyDescent="0.25">
      <c r="A837" s="3">
        <v>41372</v>
      </c>
      <c r="B837" s="2" t="s">
        <v>38</v>
      </c>
      <c r="C837" t="s">
        <v>7</v>
      </c>
      <c r="D837" t="s">
        <v>209</v>
      </c>
      <c r="E837" s="2">
        <v>45868</v>
      </c>
      <c r="F837" s="2" cm="1">
        <f t="array" ref="F837">_xlfn.IFS(B837="Owner Surrender",E837,B837="Stray",E837+6,B837="Stray w/identification",E837+11,B837="Bite",E837+10,B837="Other",Blank)</f>
        <v>45874</v>
      </c>
      <c r="G837" s="2">
        <v>45874</v>
      </c>
      <c r="H837" s="6">
        <f t="shared" si="35"/>
        <v>6</v>
      </c>
      <c r="I837" s="6">
        <f t="shared" si="36"/>
        <v>0</v>
      </c>
      <c r="J837" s="2" t="s">
        <v>31</v>
      </c>
      <c r="L837" t="s">
        <v>34</v>
      </c>
    </row>
    <row r="838" spans="1:12" x14ac:dyDescent="0.25">
      <c r="A838" s="3">
        <v>41373</v>
      </c>
      <c r="B838" s="2" t="s">
        <v>38</v>
      </c>
      <c r="C838" t="s">
        <v>7</v>
      </c>
      <c r="D838" t="s">
        <v>209</v>
      </c>
      <c r="E838" s="2">
        <v>45868</v>
      </c>
      <c r="F838" s="2" cm="1">
        <f t="array" ref="F838">_xlfn.IFS(B838="Owner Surrender",E838,B838="Stray",E838+6,B838="Stray w/identification",E838+11,B838="Bite",E838+10,B838="Other",Blank)</f>
        <v>45874</v>
      </c>
      <c r="G838" s="2">
        <v>45874</v>
      </c>
      <c r="H838" s="6">
        <f t="shared" si="35"/>
        <v>6</v>
      </c>
      <c r="I838" s="6">
        <f t="shared" si="36"/>
        <v>0</v>
      </c>
      <c r="J838" s="2" t="s">
        <v>31</v>
      </c>
      <c r="L838" t="s">
        <v>34</v>
      </c>
    </row>
    <row r="839" spans="1:12" x14ac:dyDescent="0.25">
      <c r="A839" s="3">
        <v>41374</v>
      </c>
      <c r="B839" s="2" t="s">
        <v>38</v>
      </c>
      <c r="C839" t="s">
        <v>7</v>
      </c>
      <c r="D839" t="s">
        <v>209</v>
      </c>
      <c r="E839" s="2">
        <v>45868</v>
      </c>
      <c r="F839" s="2" cm="1">
        <f t="array" ref="F839">_xlfn.IFS(B839="Owner Surrender",E839,B839="Stray",E839+6,B839="Stray w/identification",E839+11,B839="Bite",E839+10,B839="Other",Blank)</f>
        <v>45874</v>
      </c>
      <c r="G839" s="2">
        <v>45874</v>
      </c>
      <c r="H839" s="6">
        <f t="shared" si="35"/>
        <v>6</v>
      </c>
      <c r="I839" s="6">
        <f t="shared" si="36"/>
        <v>0</v>
      </c>
      <c r="J839" s="2" t="s">
        <v>31</v>
      </c>
      <c r="L839" t="s">
        <v>34</v>
      </c>
    </row>
    <row r="840" spans="1:12" x14ac:dyDescent="0.25">
      <c r="A840" s="3">
        <v>41375</v>
      </c>
      <c r="B840" s="2" t="s">
        <v>38</v>
      </c>
      <c r="C840" t="s">
        <v>7</v>
      </c>
      <c r="D840" t="s">
        <v>209</v>
      </c>
      <c r="E840" s="2">
        <v>45868</v>
      </c>
      <c r="F840" s="2" cm="1">
        <f t="array" ref="F840">_xlfn.IFS(B840="Owner Surrender",E840,B840="Stray",E840+6,B840="Stray w/identification",E840+11,B840="Bite",E840+10,B840="Other",Blank)</f>
        <v>45874</v>
      </c>
      <c r="G840" s="2">
        <v>45874</v>
      </c>
      <c r="H840" s="6">
        <f t="shared" si="35"/>
        <v>6</v>
      </c>
      <c r="I840" s="6">
        <f t="shared" si="36"/>
        <v>0</v>
      </c>
      <c r="J840" s="2" t="s">
        <v>31</v>
      </c>
      <c r="L840" t="s">
        <v>34</v>
      </c>
    </row>
    <row r="841" spans="1:12" x14ac:dyDescent="0.25">
      <c r="A841" s="3">
        <v>41376</v>
      </c>
      <c r="B841" s="2" t="s">
        <v>38</v>
      </c>
      <c r="C841" t="s">
        <v>7</v>
      </c>
      <c r="D841" t="s">
        <v>208</v>
      </c>
      <c r="E841" s="2">
        <v>45867</v>
      </c>
      <c r="F841" s="2" cm="1">
        <f t="array" ref="F841">_xlfn.IFS(B841="Owner Surrender",E841,B841="Stray",E841+6,B841="Stray w/identification",E841+11,B841="Bite",E841+10,B841="Other",Blank)</f>
        <v>45873</v>
      </c>
      <c r="G841" s="2">
        <v>45874</v>
      </c>
      <c r="H841" s="6">
        <f t="shared" si="35"/>
        <v>7</v>
      </c>
      <c r="I841" s="6">
        <f t="shared" si="36"/>
        <v>1</v>
      </c>
      <c r="J841" s="2" t="s">
        <v>31</v>
      </c>
    </row>
    <row r="842" spans="1:12" x14ac:dyDescent="0.25">
      <c r="A842" s="3">
        <v>41377</v>
      </c>
      <c r="B842" s="2" t="s">
        <v>38</v>
      </c>
      <c r="C842" t="s">
        <v>10</v>
      </c>
      <c r="D842" t="s">
        <v>208</v>
      </c>
      <c r="E842" s="2">
        <v>45869</v>
      </c>
      <c r="F842" s="2" cm="1">
        <f t="array" ref="F842">_xlfn.IFS(B842="Owner Surrender",E842,B842="Stray",E842+6,B842="Stray w/identification",E842+11,B842="Bite",E842+10,B842="Other",Blank)</f>
        <v>45875</v>
      </c>
      <c r="G842" s="2">
        <v>45874</v>
      </c>
      <c r="H842" s="6">
        <f t="shared" ref="H842:H873" si="37">+G842-E842</f>
        <v>5</v>
      </c>
      <c r="I842" s="6">
        <f t="shared" ref="I842:I863" si="38">G842-F842</f>
        <v>-1</v>
      </c>
      <c r="J842" s="2" t="s">
        <v>31</v>
      </c>
      <c r="L842" t="s">
        <v>34</v>
      </c>
    </row>
    <row r="843" spans="1:12" x14ac:dyDescent="0.25">
      <c r="A843" s="3">
        <v>41378</v>
      </c>
      <c r="B843" s="2" t="s">
        <v>36</v>
      </c>
      <c r="C843" t="s">
        <v>7</v>
      </c>
      <c r="D843" t="s">
        <v>209</v>
      </c>
      <c r="E843" s="2">
        <v>45869</v>
      </c>
      <c r="F843" s="2" cm="1">
        <f t="array" ref="F843">_xlfn.IFS(B843="Owner Surrender",E843,B843="Stray",E843+6,B843="Stray w/identification",E843+11,B843="Bite",E843+10,B843="Other",Blank)</f>
        <v>45869</v>
      </c>
      <c r="G843" s="2">
        <v>45874</v>
      </c>
      <c r="H843" s="6">
        <f t="shared" si="37"/>
        <v>5</v>
      </c>
      <c r="I843" s="6">
        <f t="shared" si="38"/>
        <v>5</v>
      </c>
      <c r="J843" s="2" t="s">
        <v>31</v>
      </c>
    </row>
    <row r="844" spans="1:12" x14ac:dyDescent="0.25">
      <c r="A844" s="3">
        <v>41380</v>
      </c>
      <c r="B844" s="2" t="s">
        <v>38</v>
      </c>
      <c r="C844" t="s">
        <v>7</v>
      </c>
      <c r="D844" t="s">
        <v>209</v>
      </c>
      <c r="E844" s="2">
        <v>45869</v>
      </c>
      <c r="F844" s="2" cm="1">
        <f t="array" ref="F844">_xlfn.IFS(B844="Owner Surrender",E844,B844="Stray",E844+6,B844="Stray w/identification",E844+11,B844="Bite",E844+10,B844="Other",Blank)</f>
        <v>45875</v>
      </c>
      <c r="G844" s="2">
        <v>45881</v>
      </c>
      <c r="H844" s="6">
        <f t="shared" si="37"/>
        <v>12</v>
      </c>
      <c r="I844" s="6">
        <f t="shared" si="38"/>
        <v>6</v>
      </c>
      <c r="J844" s="2" t="s">
        <v>31</v>
      </c>
    </row>
    <row r="845" spans="1:12" x14ac:dyDescent="0.25">
      <c r="A845" s="3">
        <v>41381</v>
      </c>
      <c r="B845" s="2" t="s">
        <v>36</v>
      </c>
      <c r="C845" t="s">
        <v>7</v>
      </c>
      <c r="D845" t="s">
        <v>209</v>
      </c>
      <c r="E845" s="2">
        <v>45869</v>
      </c>
      <c r="F845" s="2" cm="1">
        <f t="array" ref="F845">_xlfn.IFS(B845="Owner Surrender",E845,B845="Stray",E845+6,B845="Stray w/identification",E845+11,B845="Bite",E845+10,B845="Other",Blank)</f>
        <v>45869</v>
      </c>
      <c r="G845" s="2">
        <v>45869</v>
      </c>
      <c r="H845" s="6">
        <f t="shared" si="37"/>
        <v>0</v>
      </c>
      <c r="I845" s="6">
        <f t="shared" si="38"/>
        <v>0</v>
      </c>
      <c r="J845" s="2" t="s">
        <v>31</v>
      </c>
      <c r="L845" t="s">
        <v>47</v>
      </c>
    </row>
    <row r="846" spans="1:12" x14ac:dyDescent="0.25">
      <c r="A846" s="3">
        <v>41382</v>
      </c>
      <c r="B846" s="2" t="s">
        <v>36</v>
      </c>
      <c r="C846" t="s">
        <v>7</v>
      </c>
      <c r="D846" t="s">
        <v>209</v>
      </c>
      <c r="E846" s="2">
        <v>45869</v>
      </c>
      <c r="F846" s="2" cm="1">
        <f t="array" ref="F846">_xlfn.IFS(B846="Owner Surrender",E846,B846="Stray",E846+6,B846="Stray w/identification",E846+11,B846="Bite",E846+10,B846="Other",Blank)</f>
        <v>45869</v>
      </c>
      <c r="G846" s="2">
        <v>45869</v>
      </c>
      <c r="H846" s="6">
        <f t="shared" si="37"/>
        <v>0</v>
      </c>
      <c r="I846" s="6">
        <f t="shared" si="38"/>
        <v>0</v>
      </c>
      <c r="J846" s="2" t="s">
        <v>31</v>
      </c>
      <c r="L846" t="s">
        <v>47</v>
      </c>
    </row>
    <row r="847" spans="1:12" x14ac:dyDescent="0.25">
      <c r="A847" s="3">
        <v>41383</v>
      </c>
      <c r="B847" s="2" t="s">
        <v>36</v>
      </c>
      <c r="C847" t="s">
        <v>7</v>
      </c>
      <c r="D847" t="s">
        <v>209</v>
      </c>
      <c r="E847" s="2">
        <v>45869</v>
      </c>
      <c r="F847" s="2" cm="1">
        <f t="array" ref="F847">_xlfn.IFS(B847="Owner Surrender",E847,B847="Stray",E847+6,B847="Stray w/identification",E847+11,B847="Bite",E847+10,B847="Other",Blank)</f>
        <v>45869</v>
      </c>
      <c r="G847" s="2">
        <v>45869</v>
      </c>
      <c r="H847" s="6">
        <f t="shared" si="37"/>
        <v>0</v>
      </c>
      <c r="I847" s="6">
        <f t="shared" si="38"/>
        <v>0</v>
      </c>
      <c r="J847" s="2" t="s">
        <v>31</v>
      </c>
      <c r="L847" t="s">
        <v>47</v>
      </c>
    </row>
    <row r="848" spans="1:12" x14ac:dyDescent="0.25">
      <c r="A848" s="3">
        <v>41384</v>
      </c>
      <c r="B848" s="2" t="s">
        <v>36</v>
      </c>
      <c r="C848" t="s">
        <v>7</v>
      </c>
      <c r="D848" t="s">
        <v>209</v>
      </c>
      <c r="E848" s="2">
        <v>45869</v>
      </c>
      <c r="F848" s="2" cm="1">
        <f t="array" ref="F848">_xlfn.IFS(B848="Owner Surrender",E848,B848="Stray",E848+6,B848="Stray w/identification",E848+11,B848="Bite",E848+10,B848="Other",Blank)</f>
        <v>45869</v>
      </c>
      <c r="G848" s="2">
        <v>45869</v>
      </c>
      <c r="H848" s="6">
        <f t="shared" si="37"/>
        <v>0</v>
      </c>
      <c r="I848" s="6">
        <f t="shared" si="38"/>
        <v>0</v>
      </c>
      <c r="J848" s="2" t="s">
        <v>31</v>
      </c>
      <c r="L848" t="s">
        <v>47</v>
      </c>
    </row>
    <row r="849" spans="1:12" x14ac:dyDescent="0.25">
      <c r="A849" s="3">
        <v>41387</v>
      </c>
      <c r="B849" s="2" t="s">
        <v>38</v>
      </c>
      <c r="C849" t="s">
        <v>7</v>
      </c>
      <c r="D849" t="s">
        <v>208</v>
      </c>
      <c r="E849" s="2">
        <v>45869</v>
      </c>
      <c r="F849" s="2" cm="1">
        <f t="array" ref="F849">_xlfn.IFS(B849="Owner Surrender",E849,B849="Stray",E849+6,B849="Stray w/identification",E849+11,B849="Bite",E849+10,B849="Other",Blank)</f>
        <v>45875</v>
      </c>
      <c r="G849" s="2">
        <v>45875</v>
      </c>
      <c r="H849" s="6">
        <f t="shared" si="37"/>
        <v>6</v>
      </c>
      <c r="I849" s="6">
        <f t="shared" si="38"/>
        <v>0</v>
      </c>
      <c r="J849" s="2" t="s">
        <v>31</v>
      </c>
    </row>
    <row r="850" spans="1:12" x14ac:dyDescent="0.25">
      <c r="A850" s="3">
        <v>41388</v>
      </c>
      <c r="B850" s="2" t="s">
        <v>36</v>
      </c>
      <c r="C850" t="s">
        <v>7</v>
      </c>
      <c r="D850" t="s">
        <v>209</v>
      </c>
      <c r="E850" s="2">
        <v>45869</v>
      </c>
      <c r="F850" s="2" cm="1">
        <f t="array" ref="F850">_xlfn.IFS(B850="Owner Surrender",E850,B850="Stray",E850+6,B850="Stray w/identification",E850+11,B850="Bite",E850+10,B850="Other",Blank)</f>
        <v>45869</v>
      </c>
      <c r="G850" s="2">
        <v>45870</v>
      </c>
      <c r="H850" s="6">
        <f t="shared" si="37"/>
        <v>1</v>
      </c>
      <c r="I850" s="6">
        <f t="shared" si="38"/>
        <v>1</v>
      </c>
      <c r="J850" s="2" t="s">
        <v>31</v>
      </c>
      <c r="L850" t="s">
        <v>33</v>
      </c>
    </row>
    <row r="851" spans="1:12" x14ac:dyDescent="0.25">
      <c r="A851" s="3">
        <v>41444</v>
      </c>
      <c r="B851" s="2" t="s">
        <v>38</v>
      </c>
      <c r="C851" t="s">
        <v>7</v>
      </c>
      <c r="D851" t="s">
        <v>208</v>
      </c>
      <c r="E851" s="2">
        <v>45867</v>
      </c>
      <c r="F851" s="2" cm="1">
        <f t="array" ref="F851">_xlfn.IFS(B851="Owner Surrender",E851,B851="Stray",E851+6,B851="Stray w/identification",E851+11,B851="Bite",E851+10,B851="Other",Blank)</f>
        <v>45873</v>
      </c>
      <c r="G851" s="2">
        <v>45874</v>
      </c>
      <c r="H851" s="6">
        <f t="shared" si="37"/>
        <v>7</v>
      </c>
      <c r="I851" s="6">
        <f t="shared" si="38"/>
        <v>1</v>
      </c>
      <c r="J851" s="2" t="s">
        <v>31</v>
      </c>
    </row>
    <row r="852" spans="1:12" x14ac:dyDescent="0.25">
      <c r="A852" s="1">
        <v>70714</v>
      </c>
      <c r="B852" s="2" t="s">
        <v>36</v>
      </c>
      <c r="C852" t="s">
        <v>7</v>
      </c>
      <c r="D852" t="s">
        <v>208</v>
      </c>
      <c r="E852" s="2">
        <v>45805</v>
      </c>
      <c r="F852" s="2" cm="1">
        <f t="array" ref="F852">_xlfn.IFS(B852="Owner Surrender",E852,B852="Stray",E852+6,B852="Stray w/identification",E852+11,B852="Bite",E852+10,B852="Other",Blank)</f>
        <v>45805</v>
      </c>
      <c r="G852" s="2">
        <v>45807</v>
      </c>
      <c r="H852" s="6">
        <f t="shared" si="37"/>
        <v>2</v>
      </c>
      <c r="I852" s="6">
        <f t="shared" si="38"/>
        <v>2</v>
      </c>
      <c r="J852" s="2" t="s">
        <v>31</v>
      </c>
    </row>
    <row r="853" spans="1:12" x14ac:dyDescent="0.25">
      <c r="A853" s="1">
        <v>40212</v>
      </c>
      <c r="B853" s="2" t="s">
        <v>36</v>
      </c>
      <c r="C853" t="s">
        <v>10</v>
      </c>
      <c r="D853" t="s">
        <v>211</v>
      </c>
      <c r="E853" s="2">
        <v>45770</v>
      </c>
      <c r="F853" s="2" cm="1">
        <f t="array" ref="F853">_xlfn.IFS(B853="Owner Surrender",E853,B853="Stray",E853+6,B853="Stray w/identification",E853+11,B853="Bite",E853+10,B853="Other",Blank)</f>
        <v>45770</v>
      </c>
      <c r="G853" s="2">
        <v>45780</v>
      </c>
      <c r="H853" s="6">
        <f t="shared" si="37"/>
        <v>10</v>
      </c>
      <c r="I853" s="6">
        <f t="shared" si="38"/>
        <v>10</v>
      </c>
      <c r="J853" s="2" t="s">
        <v>8</v>
      </c>
    </row>
    <row r="854" spans="1:12" x14ac:dyDescent="0.25">
      <c r="A854" s="1">
        <v>40211</v>
      </c>
      <c r="B854" s="2" t="s">
        <v>36</v>
      </c>
      <c r="C854" t="s">
        <v>7</v>
      </c>
      <c r="D854" t="s">
        <v>208</v>
      </c>
      <c r="E854" s="2">
        <v>45770</v>
      </c>
      <c r="F854" s="2" cm="1">
        <f t="array" ref="F854">_xlfn.IFS(B854="Owner Surrender",E854,B854="Stray",E854+6,B854="Stray w/identification",E854+11,B854="Bite",E854+10,B854="Other",Blank)</f>
        <v>45770</v>
      </c>
      <c r="G854" s="2">
        <v>45780</v>
      </c>
      <c r="H854" s="6">
        <f t="shared" si="37"/>
        <v>10</v>
      </c>
      <c r="I854" s="6">
        <f t="shared" si="38"/>
        <v>10</v>
      </c>
      <c r="J854" s="2" t="s">
        <v>8</v>
      </c>
    </row>
    <row r="855" spans="1:12" x14ac:dyDescent="0.25">
      <c r="C855" t="s">
        <v>7</v>
      </c>
      <c r="F855" s="2" t="e" cm="1">
        <f t="array" ref="F855">_xlfn.IFS(B855="Owner Surrender",E855,B855="Stray",E855+6,B855="Stray w/identification",E855+11,B855="Bite",E855+10,B855="Other",Blank)</f>
        <v>#N/A</v>
      </c>
      <c r="H855" s="6">
        <f t="shared" si="37"/>
        <v>0</v>
      </c>
      <c r="I855" s="6" t="e">
        <f t="shared" si="38"/>
        <v>#N/A</v>
      </c>
    </row>
    <row r="856" spans="1:12" x14ac:dyDescent="0.25">
      <c r="C856" t="s">
        <v>7</v>
      </c>
      <c r="F856" s="2" t="e" cm="1">
        <f t="array" ref="F856">_xlfn.IFS(B856="Owner Surrender",E856,B856="Stray",E856+6,B856="Stray w/identification",E856+11,B856="Bite",E856+10,B856="Other",Blank)</f>
        <v>#N/A</v>
      </c>
      <c r="H856" s="6">
        <f t="shared" si="37"/>
        <v>0</v>
      </c>
      <c r="I856" s="6" t="e">
        <f t="shared" si="38"/>
        <v>#N/A</v>
      </c>
    </row>
    <row r="857" spans="1:12" x14ac:dyDescent="0.25">
      <c r="C857" t="s">
        <v>7</v>
      </c>
      <c r="F857" s="2" t="e" cm="1">
        <f t="array" ref="F857">_xlfn.IFS(B857="Owner Surrender",E857,B857="Stray",E857+6,B857="Stray w/identification",E857+11,B857="Bite",E857+10,B857="Other",Blank)</f>
        <v>#N/A</v>
      </c>
      <c r="H857" s="6">
        <f t="shared" si="37"/>
        <v>0</v>
      </c>
      <c r="I857" s="6" t="e">
        <f t="shared" si="38"/>
        <v>#N/A</v>
      </c>
    </row>
    <row r="858" spans="1:12" x14ac:dyDescent="0.25">
      <c r="C858" t="s">
        <v>7</v>
      </c>
      <c r="F858" s="2" t="e" cm="1">
        <f t="array" ref="F858">_xlfn.IFS(B858="Owner Surrender",E858,B858="Stray",E858+6,B858="Stray w/identification",E858+11,B858="Bite",E858+10,B858="Other",Blank)</f>
        <v>#N/A</v>
      </c>
      <c r="H858" s="6">
        <f t="shared" si="37"/>
        <v>0</v>
      </c>
      <c r="I858" s="6" t="e">
        <f t="shared" si="38"/>
        <v>#N/A</v>
      </c>
    </row>
    <row r="859" spans="1:12" x14ac:dyDescent="0.25">
      <c r="C859" t="s">
        <v>7</v>
      </c>
      <c r="F859" s="2" t="e" cm="1">
        <f t="array" ref="F859">_xlfn.IFS(B859="Owner Surrender",E859,B859="Stray",E859+6,B859="Stray w/identification",E859+11,B859="Bite",E859+10,B859="Other",Blank)</f>
        <v>#N/A</v>
      </c>
      <c r="H859" s="6">
        <f t="shared" si="37"/>
        <v>0</v>
      </c>
      <c r="I859" s="6" t="e">
        <f t="shared" si="38"/>
        <v>#N/A</v>
      </c>
    </row>
    <row r="860" spans="1:12" x14ac:dyDescent="0.25">
      <c r="C860" t="s">
        <v>7</v>
      </c>
      <c r="F860" s="2" t="e" cm="1">
        <f t="array" ref="F860">_xlfn.IFS(B860="Owner Surrender",E860,B860="Stray",E860+6,B860="Stray w/identification",E860+11,B860="Bite",E860+10,B860="Other",Blank)</f>
        <v>#N/A</v>
      </c>
      <c r="H860" s="6">
        <f t="shared" si="37"/>
        <v>0</v>
      </c>
      <c r="I860" s="6" t="e">
        <f t="shared" si="38"/>
        <v>#N/A</v>
      </c>
    </row>
    <row r="861" spans="1:12" x14ac:dyDescent="0.25">
      <c r="C861" t="s">
        <v>7</v>
      </c>
      <c r="F861" s="2" t="e" cm="1">
        <f t="array" ref="F861">_xlfn.IFS(B861="Owner Surrender",E861,B861="Stray",E861+6,B861="Stray w/identification",E861+11,B861="Bite",E861+10,B861="Other",Blank)</f>
        <v>#N/A</v>
      </c>
      <c r="H861" s="6">
        <f t="shared" si="37"/>
        <v>0</v>
      </c>
      <c r="I861" s="6" t="e">
        <f t="shared" si="38"/>
        <v>#N/A</v>
      </c>
    </row>
    <row r="862" spans="1:12" x14ac:dyDescent="0.25">
      <c r="C862" t="s">
        <v>7</v>
      </c>
      <c r="F862" s="2" t="e" cm="1">
        <f t="array" ref="F862">_xlfn.IFS(B862="Owner Surrender",E862,B862="Stray",E862+6,B862="Stray w/identification",E862+11,B862="Bite",E862+10,B862="Other",Blank)</f>
        <v>#N/A</v>
      </c>
      <c r="H862" s="6">
        <f t="shared" si="37"/>
        <v>0</v>
      </c>
      <c r="I862" s="6" t="e">
        <f t="shared" si="38"/>
        <v>#N/A</v>
      </c>
    </row>
    <row r="863" spans="1:12" x14ac:dyDescent="0.25">
      <c r="C863" t="s">
        <v>7</v>
      </c>
      <c r="F863" s="2" t="e" cm="1">
        <f t="array" ref="F863">_xlfn.IFS(B863="Owner Surrender",E863,B863="Stray",E863+6,B863="Stray w/identification",E863+11,B863="Bite",E863+10,B863="Other",Blank)</f>
        <v>#N/A</v>
      </c>
      <c r="H863" s="6">
        <f t="shared" si="37"/>
        <v>0</v>
      </c>
      <c r="I863" s="6" t="e">
        <f t="shared" si="38"/>
        <v>#N/A</v>
      </c>
    </row>
    <row r="864" spans="1:12" x14ac:dyDescent="0.25">
      <c r="C864" t="s">
        <v>7</v>
      </c>
      <c r="F864" s="2" t="e" cm="1">
        <f t="array" ref="F864">_xlfn.IFS(B864="Owner Surrender",E864,B864="Stray",E864+6,B864="Stray w/identification",E864+11,B864="Bite",E864+10,B864="Other",Blank)</f>
        <v>#N/A</v>
      </c>
      <c r="H864" s="6">
        <f t="shared" si="37"/>
        <v>0</v>
      </c>
    </row>
    <row r="865" spans="3:8" x14ac:dyDescent="0.25">
      <c r="C865" t="s">
        <v>7</v>
      </c>
      <c r="F865" s="2" t="e" cm="1">
        <f t="array" ref="F865">_xlfn.IFS(B865="Owner Surrender",E865,B865="Stray",E865+6,B865="Stray w/identification",E865+11,B865="Bite",E865+10,B865="Other",Blank)</f>
        <v>#N/A</v>
      </c>
      <c r="H865" s="6">
        <f t="shared" si="37"/>
        <v>0</v>
      </c>
    </row>
    <row r="866" spans="3:8" x14ac:dyDescent="0.25">
      <c r="C866" t="s">
        <v>7</v>
      </c>
      <c r="F866" s="2" t="e" cm="1">
        <f t="array" ref="F866">_xlfn.IFS(B866="Owner Surrender",E866,B866="Stray",E866+6,B866="Stray w/identification",E866+11,B866="Bite",E866+10,B866="Other",Blank)</f>
        <v>#N/A</v>
      </c>
      <c r="H866" s="6">
        <f t="shared" si="37"/>
        <v>0</v>
      </c>
    </row>
    <row r="867" spans="3:8" x14ac:dyDescent="0.25">
      <c r="C867" t="s">
        <v>7</v>
      </c>
      <c r="F867" s="2" t="e" cm="1">
        <f t="array" ref="F867">_xlfn.IFS(B867="Owner Surrender",E867,B867="Stray",E867+6,B867="Stray w/identification",E867+11,B867="Bite",E867+10,B867="Other",Blank)</f>
        <v>#N/A</v>
      </c>
      <c r="H867" s="6">
        <f t="shared" si="37"/>
        <v>0</v>
      </c>
    </row>
    <row r="868" spans="3:8" x14ac:dyDescent="0.25">
      <c r="C868" t="s">
        <v>7</v>
      </c>
      <c r="F868" s="2" t="e" cm="1">
        <f t="array" ref="F868">_xlfn.IFS(B868="Owner Surrender",E868,B868="Stray",E868+6,B868="Stray w/identification",E868+11,B868="Bite",E868+10,B868="Other",Blank)</f>
        <v>#N/A</v>
      </c>
      <c r="H868" s="6">
        <f t="shared" si="37"/>
        <v>0</v>
      </c>
    </row>
    <row r="869" spans="3:8" x14ac:dyDescent="0.25">
      <c r="C869" t="s">
        <v>7</v>
      </c>
      <c r="F869" s="2" t="e" cm="1">
        <f t="array" ref="F869">_xlfn.IFS(B869="Owner Surrender",E869,B869="Stray",E869+6,B869="Stray w/identification",E869+11,B869="Bite",E869+10,B869="Other",Blank)</f>
        <v>#N/A</v>
      </c>
      <c r="H869" s="6">
        <f t="shared" si="37"/>
        <v>0</v>
      </c>
    </row>
    <row r="870" spans="3:8" x14ac:dyDescent="0.25">
      <c r="C870" t="s">
        <v>7</v>
      </c>
      <c r="F870" s="2" t="e" cm="1">
        <f t="array" ref="F870">_xlfn.IFS(B870="Owner Surrender",E870,B870="Stray",E870+6,B870="Stray w/identification",E870+11,B870="Bite",E870+10,B870="Other",Blank)</f>
        <v>#N/A</v>
      </c>
      <c r="H870" s="6">
        <f t="shared" si="37"/>
        <v>0</v>
      </c>
    </row>
    <row r="871" spans="3:8" x14ac:dyDescent="0.25">
      <c r="C871" t="s">
        <v>7</v>
      </c>
      <c r="F871" s="2" t="e" cm="1">
        <f t="array" ref="F871">_xlfn.IFS(B871="Owner Surrender",E871,B871="Stray",E871+6,B871="Stray w/identification",E871+11,B871="Bite",E871+10,B871="Other",Blank)</f>
        <v>#N/A</v>
      </c>
      <c r="H871" s="6">
        <f t="shared" si="37"/>
        <v>0</v>
      </c>
    </row>
    <row r="872" spans="3:8" x14ac:dyDescent="0.25">
      <c r="C872" t="s">
        <v>7</v>
      </c>
      <c r="F872" s="2" t="e" cm="1">
        <f t="array" ref="F872">_xlfn.IFS(B872="Owner Surrender",E872,B872="Stray",E872+6,B872="Stray w/identification",E872+11,B872="Bite",E872+10,B872="Other",Blank)</f>
        <v>#N/A</v>
      </c>
      <c r="H872" s="6">
        <f t="shared" si="37"/>
        <v>0</v>
      </c>
    </row>
    <row r="873" spans="3:8" x14ac:dyDescent="0.25">
      <c r="C873" t="s">
        <v>7</v>
      </c>
      <c r="F873" s="2" t="e" cm="1">
        <f t="array" ref="F873">_xlfn.IFS(B873="Owner Surrender",E873,B873="Stray",E873+6,B873="Stray w/identification",E873+11,B873="Bite",E873+10,B873="Other",Blank)</f>
        <v>#N/A</v>
      </c>
      <c r="H873" s="6">
        <f t="shared" si="37"/>
        <v>0</v>
      </c>
    </row>
    <row r="874" spans="3:8" x14ac:dyDescent="0.25">
      <c r="C874" t="s">
        <v>7</v>
      </c>
      <c r="F874" s="2" t="e" cm="1">
        <f t="array" ref="F874">_xlfn.IFS(B874="Owner Surrender",E874,B874="Stray",E874+6,B874="Stray w/identification",E874+11,B874="Bite",E874+10,B874="Other",Blank)</f>
        <v>#N/A</v>
      </c>
      <c r="H874" s="6">
        <f t="shared" ref="H874:H905" si="39">+G874-E874</f>
        <v>0</v>
      </c>
    </row>
    <row r="875" spans="3:8" x14ac:dyDescent="0.25">
      <c r="C875" t="s">
        <v>7</v>
      </c>
      <c r="F875" s="2" t="e" cm="1">
        <f t="array" ref="F875">_xlfn.IFS(B875="Owner Surrender",E875,B875="Stray",E875+6,B875="Stray w/identification",E875+11,B875="Bite",E875+10,B875="Other",Blank)</f>
        <v>#N/A</v>
      </c>
      <c r="H875" s="6">
        <f t="shared" si="39"/>
        <v>0</v>
      </c>
    </row>
    <row r="876" spans="3:8" x14ac:dyDescent="0.25">
      <c r="C876" t="s">
        <v>7</v>
      </c>
      <c r="F876" s="2" t="e" cm="1">
        <f t="array" ref="F876">_xlfn.IFS(B876="Owner Surrender",E876,B876="Stray",E876+6,B876="Stray w/identification",E876+11,B876="Bite",E876+10,B876="Other",Blank)</f>
        <v>#N/A</v>
      </c>
      <c r="H876" s="6">
        <f t="shared" si="39"/>
        <v>0</v>
      </c>
    </row>
    <row r="877" spans="3:8" x14ac:dyDescent="0.25">
      <c r="C877" t="s">
        <v>7</v>
      </c>
      <c r="F877" s="2" t="e" cm="1">
        <f t="array" ref="F877">_xlfn.IFS(B877="Owner Surrender",E877,B877="Stray",E877+6,B877="Stray w/identification",E877+11,B877="Bite",E877+10,B877="Other",Blank)</f>
        <v>#N/A</v>
      </c>
      <c r="H877" s="6">
        <f t="shared" si="39"/>
        <v>0</v>
      </c>
    </row>
    <row r="878" spans="3:8" x14ac:dyDescent="0.25">
      <c r="C878" t="s">
        <v>7</v>
      </c>
      <c r="F878" s="2" t="e" cm="1">
        <f t="array" ref="F878">_xlfn.IFS(B878="Owner Surrender",E878,B878="Stray",E878+6,B878="Stray w/identification",E878+11,B878="Bite",E878+10,B878="Other",Blank)</f>
        <v>#N/A</v>
      </c>
      <c r="H878" s="6">
        <f t="shared" si="39"/>
        <v>0</v>
      </c>
    </row>
    <row r="879" spans="3:8" x14ac:dyDescent="0.25">
      <c r="C879" t="s">
        <v>7</v>
      </c>
      <c r="F879" s="2" t="e" cm="1">
        <f t="array" ref="F879">_xlfn.IFS(B879="Owner Surrender",E879,B879="Stray",E879+6,B879="Stray w/identification",E879+11,B879="Bite",E879+10,B879="Other",Blank)</f>
        <v>#N/A</v>
      </c>
      <c r="H879" s="6">
        <f t="shared" si="39"/>
        <v>0</v>
      </c>
    </row>
    <row r="880" spans="3:8" x14ac:dyDescent="0.25">
      <c r="C880" t="s">
        <v>7</v>
      </c>
      <c r="F880" s="2" t="e" cm="1">
        <f t="array" ref="F880">_xlfn.IFS(B880="Owner Surrender",E880,B880="Stray",E880+6,B880="Stray w/identification",E880+11,B880="Bite",E880+10,B880="Other",Blank)</f>
        <v>#N/A</v>
      </c>
      <c r="H880" s="6">
        <f t="shared" si="39"/>
        <v>0</v>
      </c>
    </row>
    <row r="881" spans="3:8" x14ac:dyDescent="0.25">
      <c r="C881" t="s">
        <v>7</v>
      </c>
      <c r="F881" s="2" t="e" cm="1">
        <f t="array" ref="F881">_xlfn.IFS(B881="Owner Surrender",E881,B881="Stray",E881+6,B881="Stray w/identification",E881+11,B881="Bite",E881+10,B881="Other",Blank)</f>
        <v>#N/A</v>
      </c>
      <c r="H881" s="6">
        <f t="shared" si="39"/>
        <v>0</v>
      </c>
    </row>
    <row r="882" spans="3:8" x14ac:dyDescent="0.25">
      <c r="C882" t="s">
        <v>7</v>
      </c>
      <c r="F882" s="2" t="e" cm="1">
        <f t="array" ref="F882">_xlfn.IFS(B882="Owner Surrender",E882,B882="Stray",E882+6,B882="Stray w/identification",E882+11,B882="Bite",E882+10,B882="Other",Blank)</f>
        <v>#N/A</v>
      </c>
      <c r="H882" s="6">
        <f t="shared" si="39"/>
        <v>0</v>
      </c>
    </row>
    <row r="883" spans="3:8" x14ac:dyDescent="0.25">
      <c r="C883" t="s">
        <v>7</v>
      </c>
      <c r="F883" s="2" t="e" cm="1">
        <f t="array" ref="F883">_xlfn.IFS(B883="Owner Surrender",E883,B883="Stray",E883+6,B883="Stray w/identification",E883+11,B883="Bite",E883+10,B883="Other",Blank)</f>
        <v>#N/A</v>
      </c>
      <c r="H883" s="6">
        <f t="shared" si="39"/>
        <v>0</v>
      </c>
    </row>
    <row r="884" spans="3:8" x14ac:dyDescent="0.25">
      <c r="C884" t="s">
        <v>7</v>
      </c>
      <c r="F884" s="2" t="e" cm="1">
        <f t="array" ref="F884">_xlfn.IFS(B884="Owner Surrender",E884,B884="Stray",E884+6,B884="Stray w/identification",E884+11,B884="Bite",E884+10,B884="Other",Blank)</f>
        <v>#N/A</v>
      </c>
      <c r="H884" s="6">
        <f t="shared" si="39"/>
        <v>0</v>
      </c>
    </row>
    <row r="885" spans="3:8" x14ac:dyDescent="0.25">
      <c r="C885" t="s">
        <v>7</v>
      </c>
      <c r="F885" s="2" t="e" cm="1">
        <f t="array" ref="F885">_xlfn.IFS(B885="Owner Surrender",E885,B885="Stray",E885+6,B885="Stray w/identification",E885+11,B885="Bite",E885+10,B885="Other",Blank)</f>
        <v>#N/A</v>
      </c>
      <c r="H885" s="6">
        <f t="shared" si="39"/>
        <v>0</v>
      </c>
    </row>
    <row r="886" spans="3:8" x14ac:dyDescent="0.25">
      <c r="C886" t="s">
        <v>7</v>
      </c>
      <c r="F886" s="2" t="e" cm="1">
        <f t="array" ref="F886">_xlfn.IFS(B886="Owner Surrender",E886,B886="Stray",E886+6,B886="Stray w/identification",E886+11,B886="Bite",E886+10,B886="Other",Blank)</f>
        <v>#N/A</v>
      </c>
      <c r="H886" s="6">
        <f t="shared" si="39"/>
        <v>0</v>
      </c>
    </row>
    <row r="887" spans="3:8" x14ac:dyDescent="0.25">
      <c r="C887" t="s">
        <v>7</v>
      </c>
      <c r="F887" s="2" t="e" cm="1">
        <f t="array" ref="F887">_xlfn.IFS(B887="Owner Surrender",E887,B887="Stray",E887+6,B887="Stray w/identification",E887+11,B887="Bite",E887+10,B887="Other",Blank)</f>
        <v>#N/A</v>
      </c>
      <c r="H887" s="6">
        <f t="shared" si="39"/>
        <v>0</v>
      </c>
    </row>
    <row r="888" spans="3:8" x14ac:dyDescent="0.25">
      <c r="C888" t="s">
        <v>7</v>
      </c>
      <c r="F888" s="2" t="e" cm="1">
        <f t="array" ref="F888">_xlfn.IFS(B888="Owner Surrender",E888,B888="Stray",E888+6,B888="Stray w/identification",E888+11,B888="Bite",E888+10,B888="Other",Blank)</f>
        <v>#N/A</v>
      </c>
      <c r="H888" s="6">
        <f t="shared" si="39"/>
        <v>0</v>
      </c>
    </row>
    <row r="889" spans="3:8" x14ac:dyDescent="0.25">
      <c r="C889" t="s">
        <v>7</v>
      </c>
      <c r="F889" s="2" t="e" cm="1">
        <f t="array" ref="F889">_xlfn.IFS(B889="Owner Surrender",E889,B889="Stray",E889+6,B889="Stray w/identification",E889+11,B889="Bite",E889+10,B889="Other",Blank)</f>
        <v>#N/A</v>
      </c>
      <c r="H889" s="6">
        <f t="shared" si="39"/>
        <v>0</v>
      </c>
    </row>
    <row r="890" spans="3:8" x14ac:dyDescent="0.25">
      <c r="C890" t="s">
        <v>7</v>
      </c>
      <c r="F890" s="2" t="e" cm="1">
        <f t="array" ref="F890">_xlfn.IFS(B890="Owner Surrender",E890,B890="Stray",E890+6,B890="Stray w/identification",E890+11,B890="Bite",E890+10,B890="Other",Blank)</f>
        <v>#N/A</v>
      </c>
      <c r="H890" s="6">
        <f t="shared" si="39"/>
        <v>0</v>
      </c>
    </row>
    <row r="891" spans="3:8" x14ac:dyDescent="0.25">
      <c r="C891" t="s">
        <v>7</v>
      </c>
      <c r="F891" s="2" t="e" cm="1">
        <f t="array" ref="F891">_xlfn.IFS(B891="Owner Surrender",E891,B891="Stray",E891+6,B891="Stray w/identification",E891+11,B891="Bite",E891+10,B891="Other",Blank)</f>
        <v>#N/A</v>
      </c>
      <c r="H891" s="6">
        <f t="shared" si="39"/>
        <v>0</v>
      </c>
    </row>
    <row r="892" spans="3:8" x14ac:dyDescent="0.25">
      <c r="C892" t="s">
        <v>7</v>
      </c>
      <c r="F892" s="2" t="e" cm="1">
        <f t="array" ref="F892">_xlfn.IFS(B892="Owner Surrender",E892,B892="Stray",E892+6,B892="Stray w/identification",E892+11,B892="Bite",E892+10,B892="Other",Blank)</f>
        <v>#N/A</v>
      </c>
      <c r="H892" s="6">
        <f t="shared" si="39"/>
        <v>0</v>
      </c>
    </row>
    <row r="893" spans="3:8" x14ac:dyDescent="0.25">
      <c r="C893" t="s">
        <v>7</v>
      </c>
      <c r="F893" s="2" t="e" cm="1">
        <f t="array" ref="F893">_xlfn.IFS(B893="Owner Surrender",E893,B893="Stray",E893+6,B893="Stray w/identification",E893+11,B893="Bite",E893+10,B893="Other",Blank)</f>
        <v>#N/A</v>
      </c>
      <c r="H893" s="6">
        <f t="shared" si="39"/>
        <v>0</v>
      </c>
    </row>
    <row r="894" spans="3:8" x14ac:dyDescent="0.25">
      <c r="C894" t="s">
        <v>7</v>
      </c>
      <c r="F894" s="2" t="e" cm="1">
        <f t="array" ref="F894">_xlfn.IFS(B894="Owner Surrender",E894,B894="Stray",E894+6,B894="Stray w/identification",E894+11,B894="Bite",E894+10,B894="Other",Blank)</f>
        <v>#N/A</v>
      </c>
      <c r="H894" s="6">
        <f t="shared" si="39"/>
        <v>0</v>
      </c>
    </row>
    <row r="895" spans="3:8" x14ac:dyDescent="0.25">
      <c r="C895" t="s">
        <v>7</v>
      </c>
      <c r="F895" s="2" t="e" cm="1">
        <f t="array" ref="F895">_xlfn.IFS(B895="Owner Surrender",E895,B895="Stray",E895+6,B895="Stray w/identification",E895+11,B895="Bite",E895+10,B895="Other",Blank)</f>
        <v>#N/A</v>
      </c>
      <c r="H895" s="6">
        <f t="shared" si="39"/>
        <v>0</v>
      </c>
    </row>
    <row r="896" spans="3:8" x14ac:dyDescent="0.25">
      <c r="C896" t="s">
        <v>7</v>
      </c>
      <c r="F896" s="2" t="e" cm="1">
        <f t="array" ref="F896">_xlfn.IFS(B896="Owner Surrender",E896,B896="Stray",E896+6,B896="Stray w/identification",E896+11,B896="Bite",E896+10,B896="Other",Blank)</f>
        <v>#N/A</v>
      </c>
      <c r="H896" s="6">
        <f t="shared" si="39"/>
        <v>0</v>
      </c>
    </row>
    <row r="897" spans="3:8" x14ac:dyDescent="0.25">
      <c r="C897" t="s">
        <v>7</v>
      </c>
      <c r="F897" s="2" t="e" cm="1">
        <f t="array" ref="F897">_xlfn.IFS(B897="Owner Surrender",E897,B897="Stray",E897+6,B897="Stray w/identification",E897+11,B897="Bite",E897+10,B897="Other",Blank)</f>
        <v>#N/A</v>
      </c>
      <c r="H897" s="6">
        <f t="shared" si="39"/>
        <v>0</v>
      </c>
    </row>
    <row r="898" spans="3:8" x14ac:dyDescent="0.25">
      <c r="C898" t="s">
        <v>7</v>
      </c>
      <c r="F898" s="2" t="e" cm="1">
        <f t="array" ref="F898">_xlfn.IFS(B898="Owner Surrender",E898,B898="Stray",E898+6,B898="Stray w/identification",E898+11,B898="Bite",E898+10,B898="Other",Blank)</f>
        <v>#N/A</v>
      </c>
      <c r="H898" s="6">
        <f t="shared" si="39"/>
        <v>0</v>
      </c>
    </row>
    <row r="899" spans="3:8" x14ac:dyDescent="0.25">
      <c r="C899" t="s">
        <v>7</v>
      </c>
      <c r="F899" s="2" t="e" cm="1">
        <f t="array" ref="F899">_xlfn.IFS(B899="Owner Surrender",E899,B899="Stray",E899+6,B899="Stray w/identification",E899+11,B899="Bite",E899+10,B899="Other",Blank)</f>
        <v>#N/A</v>
      </c>
      <c r="H899" s="6">
        <f t="shared" si="39"/>
        <v>0</v>
      </c>
    </row>
    <row r="900" spans="3:8" x14ac:dyDescent="0.25">
      <c r="C900" t="s">
        <v>7</v>
      </c>
      <c r="F900" s="2" t="e" cm="1">
        <f t="array" ref="F900">_xlfn.IFS(B900="Owner Surrender",E900,B900="Stray",E900+6,B900="Stray w/identification",E900+11,B900="Bite",E900+10,B900="Other",Blank)</f>
        <v>#N/A</v>
      </c>
      <c r="H900" s="6">
        <f t="shared" si="39"/>
        <v>0</v>
      </c>
    </row>
    <row r="901" spans="3:8" x14ac:dyDescent="0.25">
      <c r="C901" t="s">
        <v>7</v>
      </c>
      <c r="F901" s="2" t="e" cm="1">
        <f t="array" ref="F901">_xlfn.IFS(B901="Owner Surrender",E901,B901="Stray",E901+6,B901="Stray w/identification",E901+11,B901="Bite",E901+10,B901="Other",Blank)</f>
        <v>#N/A</v>
      </c>
      <c r="H901" s="6">
        <f t="shared" si="39"/>
        <v>0</v>
      </c>
    </row>
    <row r="902" spans="3:8" x14ac:dyDescent="0.25">
      <c r="C902" t="s">
        <v>7</v>
      </c>
      <c r="F902" s="2" t="e" cm="1">
        <f t="array" ref="F902">_xlfn.IFS(B902="Owner Surrender",E902,B902="Stray",E902+6,B902="Stray w/identification",E902+11,B902="Bite",E902+10,B902="Other",Blank)</f>
        <v>#N/A</v>
      </c>
      <c r="H902" s="6">
        <f t="shared" si="39"/>
        <v>0</v>
      </c>
    </row>
    <row r="903" spans="3:8" x14ac:dyDescent="0.25">
      <c r="C903" t="s">
        <v>7</v>
      </c>
      <c r="F903" s="2" t="e" cm="1">
        <f t="array" ref="F903">_xlfn.IFS(B903="Owner Surrender",E903,B903="Stray",E903+6,B903="Stray w/identification",E903+11,B903="Bite",E903+10,B903="Other",Blank)</f>
        <v>#N/A</v>
      </c>
      <c r="H903" s="6">
        <f t="shared" si="39"/>
        <v>0</v>
      </c>
    </row>
    <row r="904" spans="3:8" x14ac:dyDescent="0.25">
      <c r="C904" t="s">
        <v>7</v>
      </c>
      <c r="F904" s="2" t="e" cm="1">
        <f t="array" ref="F904">_xlfn.IFS(B904="Owner Surrender",E904,B904="Stray",E904+6,B904="Stray w/identification",E904+11,B904="Bite",E904+10,B904="Other",Blank)</f>
        <v>#N/A</v>
      </c>
      <c r="H904" s="6">
        <f t="shared" si="39"/>
        <v>0</v>
      </c>
    </row>
    <row r="905" spans="3:8" x14ac:dyDescent="0.25">
      <c r="C905" t="s">
        <v>7</v>
      </c>
      <c r="F905" s="2" t="e" cm="1">
        <f t="array" ref="F905">_xlfn.IFS(B905="Owner Surrender",E905,B905="Stray",E905+6,B905="Stray w/identification",E905+11,B905="Bite",E905+10,B905="Other",Blank)</f>
        <v>#N/A</v>
      </c>
      <c r="H905" s="6">
        <f t="shared" si="39"/>
        <v>0</v>
      </c>
    </row>
    <row r="906" spans="3:8" x14ac:dyDescent="0.25">
      <c r="C906" t="s">
        <v>7</v>
      </c>
      <c r="F906" s="2" t="e" cm="1">
        <f t="array" ref="F906">_xlfn.IFS(B906="Owner Surrender",E906,B906="Stray",E906+6,B906="Stray w/identification",E906+11,B906="Bite",E906+10,B906="Other",Blank)</f>
        <v>#N/A</v>
      </c>
      <c r="H906" s="6">
        <f t="shared" ref="H906:H926" si="40">+G906-E906</f>
        <v>0</v>
      </c>
    </row>
    <row r="907" spans="3:8" x14ac:dyDescent="0.25">
      <c r="C907" t="s">
        <v>7</v>
      </c>
      <c r="F907" s="2" t="e" cm="1">
        <f t="array" ref="F907">_xlfn.IFS(B907="Owner Surrender",E907,B907="Stray",E907+6,B907="Stray w/identification",E907+11,B907="Bite",E907+10,B907="Other",Blank)</f>
        <v>#N/A</v>
      </c>
      <c r="H907" s="6">
        <f t="shared" si="40"/>
        <v>0</v>
      </c>
    </row>
    <row r="908" spans="3:8" x14ac:dyDescent="0.25">
      <c r="C908" t="s">
        <v>7</v>
      </c>
      <c r="F908" s="2" t="e" cm="1">
        <f t="array" ref="F908">_xlfn.IFS(B908="Owner Surrender",E908,B908="Stray",E908+6,B908="Stray w/identification",E908+11,B908="Bite",E908+10,B908="Other",Blank)</f>
        <v>#N/A</v>
      </c>
      <c r="H908" s="6">
        <f t="shared" si="40"/>
        <v>0</v>
      </c>
    </row>
    <row r="909" spans="3:8" x14ac:dyDescent="0.25">
      <c r="C909" t="s">
        <v>7</v>
      </c>
      <c r="F909" s="2" t="e" cm="1">
        <f t="array" ref="F909">_xlfn.IFS(B909="Owner Surrender",E909,B909="Stray",E909+6,B909="Stray w/identification",E909+11,B909="Bite",E909+10,B909="Other",Blank)</f>
        <v>#N/A</v>
      </c>
      <c r="H909" s="6">
        <f t="shared" si="40"/>
        <v>0</v>
      </c>
    </row>
    <row r="910" spans="3:8" x14ac:dyDescent="0.25">
      <c r="C910" t="s">
        <v>7</v>
      </c>
      <c r="F910" s="2" t="e" cm="1">
        <f t="array" ref="F910">_xlfn.IFS(B910="Owner Surrender",E910,B910="Stray",E910+6,B910="Stray w/identification",E910+11,B910="Bite",E910+10,B910="Other",Blank)</f>
        <v>#N/A</v>
      </c>
      <c r="H910" s="6">
        <f t="shared" si="40"/>
        <v>0</v>
      </c>
    </row>
    <row r="911" spans="3:8" x14ac:dyDescent="0.25">
      <c r="C911" t="s">
        <v>7</v>
      </c>
      <c r="F911" s="2" t="e" cm="1">
        <f t="array" ref="F911">_xlfn.IFS(B911="Owner Surrender",E911,B911="Stray",E911+6,B911="Stray w/identification",E911+11,B911="Bite",E911+10,B911="Other",Blank)</f>
        <v>#N/A</v>
      </c>
      <c r="H911" s="6">
        <f t="shared" si="40"/>
        <v>0</v>
      </c>
    </row>
    <row r="912" spans="3:8" x14ac:dyDescent="0.25">
      <c r="C912" t="s">
        <v>7</v>
      </c>
      <c r="F912" s="2" t="e" cm="1">
        <f t="array" ref="F912">_xlfn.IFS(B912="Owner Surrender",E912,B912="Stray",E912+6,B912="Stray w/identification",E912+11,B912="Bite",E912+10,B912="Other",Blank)</f>
        <v>#N/A</v>
      </c>
      <c r="H912" s="6">
        <f t="shared" si="40"/>
        <v>0</v>
      </c>
    </row>
    <row r="913" spans="3:8" x14ac:dyDescent="0.25">
      <c r="C913" t="s">
        <v>7</v>
      </c>
      <c r="F913" s="2" t="e" cm="1">
        <f t="array" ref="F913">_xlfn.IFS(B913="Owner Surrender",E913,B913="Stray",E913+6,B913="Stray w/identification",E913+11,B913="Bite",E913+10,B913="Other",Blank)</f>
        <v>#N/A</v>
      </c>
      <c r="H913" s="6">
        <f t="shared" si="40"/>
        <v>0</v>
      </c>
    </row>
    <row r="914" spans="3:8" x14ac:dyDescent="0.25">
      <c r="C914" t="s">
        <v>7</v>
      </c>
      <c r="F914" s="2" t="e" cm="1">
        <f t="array" ref="F914">_xlfn.IFS(B914="Owner Surrender",E914,B914="Stray",E914+6,B914="Stray w/identification",E914+11,B914="Bite",E914+10,B914="Other",Blank)</f>
        <v>#N/A</v>
      </c>
      <c r="H914" s="6">
        <f t="shared" si="40"/>
        <v>0</v>
      </c>
    </row>
    <row r="915" spans="3:8" x14ac:dyDescent="0.25">
      <c r="C915" t="s">
        <v>7</v>
      </c>
      <c r="F915" s="2" t="e" cm="1">
        <f t="array" ref="F915">_xlfn.IFS(B915="Owner Surrender",E915,B915="Stray",E915+6,B915="Stray w/identification",E915+11,B915="Bite",E915+10,B915="Other",Blank)</f>
        <v>#N/A</v>
      </c>
      <c r="H915" s="6">
        <f t="shared" si="40"/>
        <v>0</v>
      </c>
    </row>
    <row r="916" spans="3:8" x14ac:dyDescent="0.25">
      <c r="C916" t="s">
        <v>7</v>
      </c>
      <c r="F916" s="2" t="e" cm="1">
        <f t="array" ref="F916">_xlfn.IFS(B916="Owner Surrender",E916,B916="Stray",E916+6,B916="Stray w/identification",E916+11,B916="Bite",E916+10,B916="Other",Blank)</f>
        <v>#N/A</v>
      </c>
      <c r="H916" s="6">
        <f t="shared" si="40"/>
        <v>0</v>
      </c>
    </row>
    <row r="917" spans="3:8" x14ac:dyDescent="0.25">
      <c r="C917" t="s">
        <v>7</v>
      </c>
      <c r="F917" s="2" t="e" cm="1">
        <f t="array" ref="F917">_xlfn.IFS(B917="Owner Surrender",E917,B917="Stray",E917+6,B917="Stray w/identification",E917+11,B917="Bite",E917+10,B917="Other",Blank)</f>
        <v>#N/A</v>
      </c>
      <c r="H917" s="6">
        <f t="shared" si="40"/>
        <v>0</v>
      </c>
    </row>
    <row r="918" spans="3:8" x14ac:dyDescent="0.25">
      <c r="C918" t="s">
        <v>7</v>
      </c>
      <c r="F918" s="2" t="e" cm="1">
        <f t="array" ref="F918">_xlfn.IFS(B918="Owner Surrender",E918,B918="Stray",E918+6,B918="Stray w/identification",E918+11,B918="Bite",E918+10,B918="Other",Blank)</f>
        <v>#N/A</v>
      </c>
      <c r="H918" s="6">
        <f t="shared" si="40"/>
        <v>0</v>
      </c>
    </row>
    <row r="919" spans="3:8" x14ac:dyDescent="0.25">
      <c r="F919" s="2" t="e" cm="1">
        <f t="array" ref="F919">_xlfn.IFS(B919="Owner Surrender",E919,B919="Stray",E919+6,B919="Stray w/identification",E919+11,B919="Bite",E919+10,B919="Other",Blank)</f>
        <v>#N/A</v>
      </c>
      <c r="H919" s="6">
        <f t="shared" si="40"/>
        <v>0</v>
      </c>
    </row>
    <row r="920" spans="3:8" x14ac:dyDescent="0.25">
      <c r="F920" s="2" t="e" cm="1">
        <f t="array" ref="F920">_xlfn.IFS(B920="Owner Surrender",E920,B920="Stray",E920+6,B920="Stray w/identification",E920+11,B920="Bite",E920+10,B920="Other",Blank)</f>
        <v>#N/A</v>
      </c>
      <c r="H920" s="6">
        <f t="shared" si="40"/>
        <v>0</v>
      </c>
    </row>
    <row r="921" spans="3:8" x14ac:dyDescent="0.25">
      <c r="F921" s="2" t="e" cm="1">
        <f t="array" ref="F921">_xlfn.IFS(B921="Owner Surrender",E921,B921="Stray",E921+6,B921="Stray w/identification",E921+11,B921="Bite",E921+10,B921="Other",Blank)</f>
        <v>#N/A</v>
      </c>
      <c r="H921" s="6">
        <f t="shared" si="40"/>
        <v>0</v>
      </c>
    </row>
    <row r="922" spans="3:8" x14ac:dyDescent="0.25">
      <c r="F922" s="2" t="e" cm="1">
        <f t="array" ref="F922">_xlfn.IFS(B922="Owner Surrender",E922,B922="Stray",E922+6,B922="Stray w/identification",E922+11,B922="Bite",E922+10,B922="Other",Blank)</f>
        <v>#N/A</v>
      </c>
      <c r="H922" s="6">
        <f t="shared" si="40"/>
        <v>0</v>
      </c>
    </row>
    <row r="923" spans="3:8" x14ac:dyDescent="0.25">
      <c r="F923" s="2" t="e" cm="1">
        <f t="array" ref="F923">_xlfn.IFS(B923="Owner Surrender",E923,B923="Stray",E923+6,B923="Stray w/identification",E923+11,B923="Bite",E923+10,B923="Other",Blank)</f>
        <v>#N/A</v>
      </c>
      <c r="H923" s="6">
        <f t="shared" si="40"/>
        <v>0</v>
      </c>
    </row>
    <row r="924" spans="3:8" x14ac:dyDescent="0.25">
      <c r="F924" s="2" t="e" cm="1">
        <f t="array" ref="F924">_xlfn.IFS(B924="Owner Surrender",E924,B924="Stray",E924+6,B924="Stray w/identification",E924+11,B924="Bite",E924+10,B924="Other",Blank)</f>
        <v>#N/A</v>
      </c>
      <c r="H924" s="6">
        <f t="shared" si="40"/>
        <v>0</v>
      </c>
    </row>
    <row r="925" spans="3:8" x14ac:dyDescent="0.25">
      <c r="F925" s="2" t="e" cm="1">
        <f t="array" ref="F925">_xlfn.IFS(B925="Owner Surrender",E925,B925="Stray",E925+6,B925="Stray w/identification",E925+11,B925="Bite",E925+10,B925="Other",Blank)</f>
        <v>#N/A</v>
      </c>
      <c r="H925" s="6">
        <f t="shared" si="40"/>
        <v>0</v>
      </c>
    </row>
    <row r="926" spans="3:8" x14ac:dyDescent="0.25">
      <c r="F926" s="2" t="e" cm="1">
        <f t="array" ref="F926">_xlfn.IFS(B926="Owner Surrender",E926,B926="Stray",E926+6,B926="Stray w/identification",E926+11,B926="Bite",E926+10,B926="Other",Blank)</f>
        <v>#N/A</v>
      </c>
      <c r="H926" s="6">
        <f t="shared" si="40"/>
        <v>0</v>
      </c>
    </row>
  </sheetData>
  <sortState xmlns:xlrd2="http://schemas.microsoft.com/office/spreadsheetml/2017/richdata2" ref="A4:L926">
    <sortCondition ref="A3:A926"/>
  </sortState>
  <mergeCells count="10">
    <mergeCell ref="H1:I1"/>
    <mergeCell ref="J1:J2"/>
    <mergeCell ref="K1:K2"/>
    <mergeCell ref="L1:L2"/>
    <mergeCell ref="A1:A2"/>
    <mergeCell ref="B1:B2"/>
    <mergeCell ref="C1:C2"/>
    <mergeCell ref="E1:E2"/>
    <mergeCell ref="F1:F2"/>
    <mergeCell ref="G1:G2"/>
  </mergeCells>
  <dataValidations count="5">
    <dataValidation type="list" allowBlank="1" showInputMessage="1" showErrorMessage="1" sqref="D1 D3:D1048576" xr:uid="{C2566C06-73BA-C54D-93B2-9705BFD0CDD1}">
      <formula1>"0-6 months, 6-12 months, Adult, Senior"</formula1>
    </dataValidation>
    <dataValidation type="list" allowBlank="1" showInputMessage="1" showErrorMessage="1" sqref="B3:B182" xr:uid="{B331DE83-3CCC-5A49-96E7-9F31B5DDCA3E}">
      <formula1>"BAS, Bite, Other, Owner Surrender, Seized, Stray, Stray w/identification"</formula1>
    </dataValidation>
    <dataValidation type="list" allowBlank="1" showInputMessage="1" showErrorMessage="1" sqref="J3:J184" xr:uid="{5F86027A-5154-ED44-8545-A8593A34B40E}">
      <formula1>"Adopted, DOA, Euthanized, RTO, Shelter, Transferred, "</formula1>
    </dataValidation>
    <dataValidation type="list" allowBlank="1" showInputMessage="1" showErrorMessage="1" sqref="J223:J438" xr:uid="{7C28CD0E-A66F-AE49-96D3-796A60DE69E8}">
      <formula1>"Adopted, DOA, Euthanized, RTO, Shelter, Transferred"</formula1>
    </dataValidation>
    <dataValidation type="list" allowBlank="1" showInputMessage="1" showErrorMessage="1" sqref="B223:B979" xr:uid="{CB069459-4C5C-AF44-88CE-5343345BA843}">
      <formula1>"Owner Surrender, Stray, Stray w/identification, Seized, Other, BAS, Bite"</formula1>
    </dataValidation>
  </dataValidations>
  <hyperlinks>
    <hyperlink ref="A806" r:id="rId1" display="https://www.dropbox.com/scl/fi/62k819i37ym2xauyzw4rz/41322.pdf?rlkey=75j5fs0b8x2hyrw5a42pvdxd5&amp;dl=0" xr:uid="{C20FEBE1-ACD1-AD45-98A7-9D8AC37D4375}"/>
    <hyperlink ref="A807" r:id="rId2" display="https://www.dropbox.com/scl/fi/wq2dkny513ye8n1eqfctf/41323.pdf?rlkey=z4ess4scu5st7deiy22vfrfe1&amp;dl=0" xr:uid="{BAA9E525-8CEA-8343-923F-2D1C77728052}"/>
    <hyperlink ref="A592" r:id="rId3" display="https://www.dropbox.com/scl/fi/5jdtmv7801eie5zhit70d/40755.pdf?rlkey=x415mnzrq6r000be7sczpm3g4&amp;dl=0" xr:uid="{EB697F96-9314-CD44-9295-D1609CCFB94E}"/>
    <hyperlink ref="A811" r:id="rId4" display="https://www.dropbox.com/scl/fi/347hmlxtl5g00wop37s3q/41328.pdf?rlkey=9yad8bapbkx9i6wat1xzf97p9&amp;dl=0" xr:uid="{174ED5DD-ADFD-2241-9A23-7454E572E738}"/>
    <hyperlink ref="A377" r:id="rId5" display="https://www.dropbox.com/scl/fi/2df2vtrk6s4vik8udduuf/40284.pdf?rlkey=3c98wufak0qyhtr2nkm5u2yr6&amp;dl=0" xr:uid="{73848C8C-E94A-0F4C-85EF-6D8950975556}"/>
    <hyperlink ref="A755" r:id="rId6" display="https://www.dropbox.com/scl/fi/86i47ls6c7lvco165vtnp/41194.pdf?rlkey=woehuxcnoegsq7gct4mx7wqkd&amp;dl=0" xr:uid="{E0DD0D57-EA39-3B4C-AD42-D6B67B2942DB}"/>
    <hyperlink ref="A529" r:id="rId7" display="https://www.dropbox.com/scl/fi/reqpfvx2v12zu6kafxkqt/40519.pdf?rlkey=h2tzpy9vqhrmbgblb6popy72x&amp;dl=0" xr:uid="{217FE8F9-4222-4F41-8ED1-CB6B2011ADA4}"/>
    <hyperlink ref="A384" r:id="rId8" display="https://www.dropbox.com/scl/fi/bnbho8kia6iucrvtx0fsj/40291.pdf?rlkey=7i7zym28rddqhf10lfnmh3jdi&amp;dl=0" xr:uid="{CC96113C-46B5-C348-B3C5-9687C23DBB7F}"/>
    <hyperlink ref="A637" r:id="rId9" display="https://www.dropbox.com/scl/fi/neyd66vz29tjd00dkicpb/40922.pdf?rlkey=cwl7dhiwk33wbsemxol32tksk&amp;dl=0" xr:uid="{843AB943-1638-604F-879F-13D98FB9E1AA}"/>
    <hyperlink ref="A678" r:id="rId10" display="https://www.dropbox.com/scl/fi/vmp1m5k7wt3rv6ihg90p4/41031.pdf?rlkey=ktyf80ksha3wjmq4fitm2puuy&amp;dl=0" xr:uid="{1AB239D5-FD63-2144-A662-568EC17DDFDC}"/>
    <hyperlink ref="A673" r:id="rId11" display="https://www.dropbox.com/scl/fi/svhfur6y30t3w6kf21je1/41018.pdf?rlkey=7fereb88t2y7n6yf0e6voydpo&amp;dl=0" xr:uid="{35E396A2-6C7E-3F46-B3F4-E355660CB891}"/>
    <hyperlink ref="A792" r:id="rId12" display="https://www.dropbox.com/scl/fi/gydu419vqemx9wtw08sbn/41275.pdf?rlkey=7e166rdramx4mzp9nid37g05b&amp;dl=0" xr:uid="{09446CCA-F70C-AE48-9212-750ADF9EB4E7}"/>
    <hyperlink ref="A796" r:id="rId13" display="https://www.dropbox.com/scl/fi/ythizwhtir8y0dw5kwji4/41283.pdf?rlkey=0kmm9f7qiprzyfq6epyb6au81&amp;dl=0" xr:uid="{C6E0275C-321D-624F-B6C0-014687B3CC1C}"/>
    <hyperlink ref="A793" r:id="rId14" display="https://www.dropbox.com/scl/fi/86dznqw5wwo2q4qwy36sj/41276.pdf?rlkey=0x4gwijuepdrj81d3wud2h9l5&amp;dl=0" xr:uid="{126E95A6-C42A-C746-BB92-754A0D479EBB}"/>
    <hyperlink ref="A664" r:id="rId15" display="https://www.dropbox.com/scl/fi/tcad2y6yovdm39rqjjice/41001.pdf?rlkey=d18e5gb7tvmeghk3uye76ruhu&amp;dl=0" xr:uid="{89E96E31-C3BF-6340-A51D-A358E794AEBB}"/>
    <hyperlink ref="A789" r:id="rId16" display="https://www.dropbox.com/scl/fi/ienvqzvgd1e7nskhxu0x1/41270.pdf?rlkey=hnxiapwir8qyemlt5kg3jpihv&amp;dl=0" xr:uid="{494B9A94-4146-E94A-8AE2-83F3E931CD10}"/>
    <hyperlink ref="A784" r:id="rId17" display="https://www.dropbox.com/scl/fi/1z9gdsk4v4kw5xokyq6g8/41262.pdf?rlkey=oleyow1zzzr904oskyq6aoaqs&amp;dl=0" xr:uid="{84A49797-8FF8-0A43-A911-253F3CD2CEFB}"/>
    <hyperlink ref="A767" r:id="rId18" display="https://www.dropbox.com/scl/fi/7dxc58115v8jcv11jklij/41212.pdf?rlkey=vu4uuihtthi0rjjc542souk64&amp;dl=0" xr:uid="{807B09BE-F658-9642-9961-02E4F0C4F5C0}"/>
    <hyperlink ref="A729" r:id="rId19" display="https://www.dropbox.com/scl/fi/m29tdcevyf3vj8evezsum/41138.pdf?rlkey=laact1tseq6u8h990zhvpbm0s&amp;dl=0" xr:uid="{85D92593-BC8F-134C-B10E-4A83311766CE}"/>
    <hyperlink ref="A808" r:id="rId20" display="https://www.dropbox.com/scl/fi/4ye9ff54zp78ccyzjlxnk/41324.pdf?rlkey=dy723um390o6ycehvs0w4zso2&amp;dl=0" xr:uid="{38AFA943-E0AB-3944-B004-7243BCD0B4C9}"/>
    <hyperlink ref="A802" r:id="rId21" display="https://www.dropbox.com/scl/fi/esuojhzr0yj7ixwlfth9y/41314.pdf?rlkey=q7urpa3oiq1qjbtxsblv2v8fc&amp;dl=0" xr:uid="{074FE7D5-0850-6346-8820-48B53483AF44}"/>
    <hyperlink ref="A656" r:id="rId22" display="https://www.dropbox.com/scl/fi/h0risoue26mes1b2mmoka/40977.pdf?rlkey=ajl9kiy42zstf20f9y3s6ypi6&amp;dl=0" xr:uid="{985A397A-7876-5B44-AC71-69A88A7446DA}"/>
    <hyperlink ref="A694" r:id="rId23" display="https://www.dropbox.com/scl/fi/45bnrax8ravyijuxzut6f/41072.pdf?rlkey=4zbja62c2u5sjmttxxuje2on5&amp;dl=0" xr:uid="{40967916-54C3-9745-BDB4-4F29A5C6EE16}"/>
    <hyperlink ref="A710" r:id="rId24" display="https://www.dropbox.com/scl/fi/kk408qalz8b7z26c4hmtz/41104.pdf?rlkey=2voft1jhllojpfq9xgwyuiv2e&amp;dl=0" xr:uid="{F6CADFDA-52C5-F145-9E1B-0CCBD1A65308}"/>
    <hyperlink ref="A657" r:id="rId25" display="https://www.dropbox.com/scl/fi/m2t7yi7rtsdloriocdugm/40979.pdf?rlkey=dy1gj6403u1087q361v5sa6db&amp;dl=0" xr:uid="{9D593F79-B8B8-7A4D-86E0-75205CCA8C71}"/>
    <hyperlink ref="A800" r:id="rId26" display="https://www.dropbox.com/scl/fi/shfbdg1fh3a8o9beq16qc/41312.pdf?rlkey=9sfkwavinigl8y5g95npj2y89&amp;dl=0" xr:uid="{2A15B198-E691-8240-BDD6-0240623E1960}"/>
    <hyperlink ref="A803" r:id="rId27" display="https://www.dropbox.com/scl/fi/n7p8jlvodd0a67re8ayf5/41315.pdf?rlkey=c9a0wder7lr4ceilvjq9020oz&amp;dl=0" xr:uid="{DCF836FF-0C2E-E540-B445-4973EF5DC263}"/>
    <hyperlink ref="A692" r:id="rId28" display="https://www.dropbox.com/scl/fi/hxj0k1o6muvdn5usgej8x/41070.pdf?rlkey=9k7fspsqo5xltzddp1hmtsnx8&amp;dl=0" xr:uid="{BD80F618-A880-2143-B9CD-3EB7F0F334A9}"/>
    <hyperlink ref="A658" r:id="rId29" display="https://www.dropbox.com/scl/fi/05qfyhdbl7x4300zgs5lm/40980.pdf?rlkey=kcfc9xzgy07hgrlweof5h9lk4&amp;dl=0" xr:uid="{769F6235-3BC0-3241-AB1D-E70B2CC16118}"/>
    <hyperlink ref="A801" r:id="rId30" display="https://www.dropbox.com/scl/fi/3gj1w5skpwh89ssl9l2ty/41313.pdf?rlkey=r5tfpi8kfbsxi6bwod3vgsvkg&amp;dl=0" xr:uid="{27968692-F116-A94D-A1CF-5ADE9B77D8B4}"/>
    <hyperlink ref="A712" r:id="rId31" display="https://www.dropbox.com/scl/fi/ela1dq7rk30b3ghest58l/41106.pdf?rlkey=2u6orq3tlvs4pwv6cbsnh5q0f&amp;dl=0" xr:uid="{E87DF61A-D380-BA47-A2B7-3E01D83A13E0}"/>
    <hyperlink ref="A645" r:id="rId32" display="https://www.dropbox.com/scl/fi/lzs4bgji42nhuimp5w2kh/40945.pdf?rlkey=3glxgyxlp42zcyg9zwmj1pkq5&amp;dl=0" xr:uid="{FD19826A-A262-CF41-93FA-A0FAA3825D15}"/>
    <hyperlink ref="A799" r:id="rId33" display="https://www.dropbox.com/scl/fi/22ldmt1i1sxxpejhvh4fo/41311.pdf?rlkey=g12nebty24rx31vgel7etlso4&amp;dl=0" xr:uid="{A289B029-1EFA-FB43-8A5C-6273F62D76C7}"/>
    <hyperlink ref="A659" r:id="rId34" display="https://www.dropbox.com/scl/fi/cbzi6fx2r8yerw4xsz4s0/40981.pdf?rlkey=uw98v2cxpo1esms1bci26lcb8&amp;dl=0" xr:uid="{441CE857-A7C2-5F48-8E3C-678D02228B60}"/>
    <hyperlink ref="A691" r:id="rId35" display="https://www.dropbox.com/scl/fi/y1nh1tekoc3eyrvhzw6sd/41069.pdf?rlkey=t8g6oe29wv9sfbyyj27nyd7ls&amp;dl=0" xr:uid="{303B6BE9-5550-174D-A3BB-20988600EFC1}"/>
    <hyperlink ref="A693" r:id="rId36" display="https://www.dropbox.com/scl/fi/obt11u9rzkrh9m7reb3ia/41071.pdf?rlkey=z0brx5qcjuvi9l0kul3ej1mnb&amp;dl=0" xr:uid="{3424AAF8-EE08-324C-82DA-D7748D36DA6A}"/>
    <hyperlink ref="A713" r:id="rId37" display="https://www.dropbox.com/scl/fi/oz1jqy377tafjxrwnzcp2/41107.pdf?rlkey=tz6zbyoia9b1jsfx3gpwl3lpb&amp;dl=0" xr:uid="{049B0140-B517-1946-A358-2129D6A14246}"/>
    <hyperlink ref="A711" r:id="rId38" display="https://www.dropbox.com/scl/fi/jxuctpb1f01ape587g2kc/41105.pdf?rlkey=ewbmrbzk2jmq2khi6aymslje6&amp;dl=0" xr:uid="{D6E4F076-5E41-B141-ABF0-4013C3638429}"/>
    <hyperlink ref="A709" r:id="rId39" display="https://www.dropbox.com/scl/fi/xyaepwxp3eaf09c33enap/41103.pdf?rlkey=gdn09rgkbisj86zwuy7v2k0ee&amp;dl=0" xr:uid="{C2C9EF1A-306A-6844-A43D-8D1056B79FF2}"/>
    <hyperlink ref="A708" r:id="rId40" display="https://www.dropbox.com/scl/fi/4ccenrnc17mwj52fuuvr6/41102.pdf?rlkey=shgrmxq1yhgmel3asqi7vn32j&amp;dl=0" xr:uid="{034A4BBA-DEED-0240-82F2-0472E43F2B42}"/>
    <hyperlink ref="A707" r:id="rId41" display="https://www.dropbox.com/scl/fi/hhvhog9wh2hgeberg2sns/41101.pdf?rlkey=phhba1wn9ll3wpi90jjolwmxy&amp;dl=0" xr:uid="{76CCBE68-D266-C343-8962-0FDD4292ECF2}"/>
    <hyperlink ref="A706" r:id="rId42" display="https://www.dropbox.com/scl/fi/mh8c485917icfwlmzznoh/41100.pdf?rlkey=pdd1drgt5t4psziqp87r2wxj9&amp;dl=0" xr:uid="{25EF2ED6-A42D-644A-9565-D8C7D8155C56}"/>
    <hyperlink ref="A705" r:id="rId43" display="https://www.dropbox.com/scl/fi/12oorms9h5wlxam6axs2n/41099.pdf?rlkey=ikgw40t0olluqlpssmuj9xeoh&amp;dl=0" xr:uid="{8DF5491F-2F21-C545-B763-EFF3F8F54F7B}"/>
    <hyperlink ref="A715" r:id="rId44" display="https://www.dropbox.com/scl/fi/9taewcdk5bz23a3937xsq/41109.pdf?rlkey=er17thbfm61gm1s6i5fx3soxn&amp;dl=0" xr:uid="{94463187-2D27-6141-B082-4FF04898E6F2}"/>
    <hyperlink ref="A785" r:id="rId45" display="https://www.dropbox.com/scl/fi/mzx0166mudriktb035gox/41264.pdf?rlkey=uuupzvkjb0ybm80emna0vfg8c&amp;dl=0" xr:uid="{EB35600A-A4D4-134B-A1D0-8EA7CE9BF050}"/>
    <hyperlink ref="A770" r:id="rId46" display="https://www.dropbox.com/scl/fi/q16bshtfu2wpvr7lfbnaz/41236.pdf?rlkey=nb8n88w0hil5idg8d065dv3cs&amp;dl=0" xr:uid="{52D14278-B8D2-0C4E-8C18-66460F7D96CA}"/>
    <hyperlink ref="A714" r:id="rId47" display="https://www.dropbox.com/scl/fi/awqopjn75rm981hw9jvn2/41108.pdf?rlkey=yi8u8jg96qkl4c9a597aitca6&amp;dl=0" xr:uid="{EAC42E76-7A01-C34B-9896-187D7C5D86AC}"/>
    <hyperlink ref="A732" r:id="rId48" display="https://www.dropbox.com/scl/fi/1nltejj2bsc7a4gw9zexf/41151.pdf?rlkey=dr2ydsul8temj5npl215ggk20&amp;dl=0" xr:uid="{EF8F9D42-645B-9947-81F7-FD38C2295608}"/>
    <hyperlink ref="A668" r:id="rId49" display="https://www.dropbox.com/scl/fi/44gzhomkorbfscmbihbh2/41012.pdf?rlkey=f7hovgsay7ihu48gnv3liqr66&amp;dl=0" xr:uid="{A0D675E0-784F-5F43-AB86-5A6E780E3B13}"/>
    <hyperlink ref="A736" r:id="rId50" display="https://www.dropbox.com/scl/fi/a8crytlzoeebdklrzjilh/41153.pdf?rlkey=ojdnkgsf5o45r81qat5xifsna&amp;dl=0" xr:uid="{419F1547-6C20-9447-B63B-8FE25BA9AD58}"/>
    <hyperlink ref="A730" r:id="rId51" display="https://www.dropbox.com/scl/fi/q8mq0q8yshqigatbmruxr/41147.pdf?rlkey=r5bshiyb72ujoapycs3tuyv8z&amp;dl=0" xr:uid="{0B21F9AA-C50C-2348-A1BE-687054756F11}"/>
    <hyperlink ref="A674" r:id="rId52" display="https://www.dropbox.com/scl/fi/fbhy8r8z3f2ypfa2c6cz3/41019.pdf?rlkey=0e6trwcy37xyz6f1vbphs9m2j&amp;dl=0" xr:uid="{1FCD5E6D-69C1-2849-BDDA-15FD761AB91F}"/>
    <hyperlink ref="A723" r:id="rId53" display="https://www.dropbox.com/scl/fi/3ex71mr46dgg5yutt7lz9/41129.pdf?rlkey=p4sghmrmjp3izv15a19ql0uci&amp;dl=0" xr:uid="{C77EB420-53A4-994C-9F1A-C0FA870E54CC}"/>
    <hyperlink ref="A750" r:id="rId54" display="https://www.dropbox.com/scl/fi/y0hdxr6dkyq5w0fec7p7w/41181.pdf?rlkey=c3ywxxzyzgujcvavc2otq5v9m&amp;dl=0" xr:uid="{D3539948-8FAD-5C44-9EC1-4F07F2F58AC4}"/>
    <hyperlink ref="A753" r:id="rId55" display="https://www.dropbox.com/scl/fi/ou2rlemcx79ppdi33x1sb/41184.pdf?rlkey=7g3fkw46yik4zjvtmimrj26oo&amp;dl=0" xr:uid="{BBFDF383-F0EC-4D4C-9032-F607BCDB46F0}"/>
    <hyperlink ref="A752" r:id="rId56" display="https://www.dropbox.com/scl/fi/9ut145qd5teyn22ezgq4s/41183.pdf?rlkey=mn1zl0vjqbo81dq7f1j98ma6v&amp;dl=0" xr:uid="{271E48FD-A586-374A-AAA6-6475DA38193C}"/>
    <hyperlink ref="A717" r:id="rId57" display="https://www.dropbox.com/scl/fi/h6muwxpnc0mzhjsh5infh/41116.pdf?rlkey=5rizh6wdhnrekqsaal2v3c1hy&amp;dl=0" xr:uid="{828366E8-76F1-6D4A-970A-BFFF2BA592F6}"/>
    <hyperlink ref="A716" r:id="rId58" display="https://www.dropbox.com/scl/fi/dqrnk1jxeokvnbp0p204k/41115.pdf?rlkey=alviuv5lf4mpq1n4fazbpugfq&amp;dl=0" xr:uid="{369CC518-9534-5E4C-9D23-FA0174718AD9}"/>
    <hyperlink ref="A751" r:id="rId59" display="https://www.dropbox.com/scl/fi/hif30vkt3ajf4n7tkn9sj/41182.pdf?rlkey=ai362528fs4gglzudssmzdslu&amp;dl=0" xr:uid="{61D5B582-449B-0F4F-84AF-25690EE07497}"/>
    <hyperlink ref="A731" r:id="rId60" display="https://www.dropbox.com/scl/fi/75cas3r6ysbx8zozfd95d/41148.pdf?rlkey=0e7ihifdxp97yioa10j97i3m4&amp;dl=0" xr:uid="{43644E29-450A-F146-9331-C268FFAC3F22}"/>
    <hyperlink ref="A686" r:id="rId61" display="https://www.dropbox.com/scl/fi/hswyrtehn1oz3jby7k1mx/41058.pdf?rlkey=06g4fih8dve6ju7fsf3klcdrx&amp;dl=0" xr:uid="{2FAB3867-6253-2845-A2C4-6B0BF7E5CF29}"/>
    <hyperlink ref="A743" r:id="rId62" display="https://www.dropbox.com/scl/fi/on25n7u4q5keuwqaq9iyh/41167.pdf?rlkey=p9lt6049n3jtirhiswq6a9daz&amp;dl=0" xr:uid="{93371FCF-B98D-864A-A6BF-459F09CA43B5}"/>
    <hyperlink ref="A695" r:id="rId63" display="https://www.dropbox.com/scl/fi/7y4i6d51hb5yqffx3te04/41084.pdf?rlkey=jbg67ergxv6skxfno57x3eid4&amp;dl=0" xr:uid="{E9B818C8-3359-8746-A8FF-06E7EE615B37}"/>
    <hyperlink ref="A773" r:id="rId64" display="https://www.dropbox.com/scl/fi/dnc6rlq126j6e9ghd545l/41240.pdf?rlkey=uqd0exvmm31m93d09dyws1kjw&amp;dl=0" xr:uid="{370E8937-D63E-564C-87E9-A0E4EAB27FE3}"/>
    <hyperlink ref="A289" r:id="rId65" display="https://www.dropbox.com/scl/fi/r4gusg4j5xrlvelpfmdg8/40122.pdf?rlkey=vzv58oc5wgf3g82cpollz0fnw&amp;dl=0" xr:uid="{221D63D5-DBBE-B74F-914C-C9617EF6F24C}"/>
    <hyperlink ref="A699" r:id="rId66" display="https://www.dropbox.com/scl/fi/055cfhbi36dhr964sk2l2/41092.pdf?rlkey=4tfd67euthkt2k3fozcezd1am&amp;dl=0" xr:uid="{19DC6BBF-4C77-C844-96C6-B2DCF3992C8B}"/>
    <hyperlink ref="A782" r:id="rId67" display="https://www.dropbox.com/scl/fi/z0p3h6bkah35vsb324lqv/41258.pdf?rlkey=6h1p67gdh61xmff87s2np9x40&amp;dl=0" xr:uid="{7C92367D-6BB1-5E46-BC55-6D9F4034F0C7}"/>
    <hyperlink ref="A829" r:id="rId68" display="https://www.dropbox.com/scl/fi/cn7dsz38jtuwhmpd3m6x3/41362.pdf?rlkey=2qbtdgsvjnyrzv2eckkkeo8pq&amp;dl=0" xr:uid="{08B54D45-29F5-7D47-ADD9-10C55DF0206E}"/>
    <hyperlink ref="A777" r:id="rId69" display="https://www.dropbox.com/scl/fi/hzs0tj5fk2y8ij9mudw3e/41253.pdf?rlkey=6me2v5mvgv6ys1jajkvf0erzs&amp;dl=0" xr:uid="{CCD9B377-1B90-DA43-9B2A-D30B049743F8}"/>
    <hyperlink ref="A810" r:id="rId70" display="https://www.dropbox.com/scl/fi/y5xholtla9c6aq2q02sd6/41327.pdf?rlkey=v9hk0drv5h5w7shsg87i2lqfr&amp;dl=0" xr:uid="{33C1FD0F-B531-5146-A5C0-0DA4EAACBF1D}"/>
    <hyperlink ref="A776" r:id="rId71" display="https://www.dropbox.com/scl/fi/cjkwspmu13is6v831mycv/41252.pdf?rlkey=2v7zumxw00c8fmagma1m20evz&amp;dl=0" xr:uid="{F018954A-52AA-E548-AD5F-54DAD9D5D5C8}"/>
    <hyperlink ref="A738" r:id="rId72" display="https://www.dropbox.com/scl/fi/vw6ulvi8eqpphcpqnyfej/41160.pdf?rlkey=j1w5aze64mbpk5rtlfk9mv88f&amp;dl=0" xr:uid="{C74465A5-7FF9-6741-9E90-8F615CFE5B90}"/>
    <hyperlink ref="A781" r:id="rId73" display="https://www.dropbox.com/scl/fi/ojrkl2xq8h3eoymfvcg5q/41257.pdf?rlkey=7b8zq9917w2zrc7ezepyiol0a&amp;dl=0" xr:uid="{A69CF079-1B6A-724E-A490-3B4FF80EC60A}"/>
    <hyperlink ref="A772" r:id="rId74" display="https://www.dropbox.com/scl/fi/tlkf1bbpssiaq3dgh8inn/41239.pdf?rlkey=alziinzr6tjrbahzr9r7lxoms&amp;dl=0" xr:uid="{18B3326A-D530-304B-86C1-E2EE2311EF90}"/>
    <hyperlink ref="A764" r:id="rId75" display="https://www.dropbox.com/scl/fi/n14bxh2l1b83j5vbq7sao/41206.pdf?rlkey=yjlct8s3q7l7crofdkrxtgoyv&amp;dl=0" xr:uid="{D1558FBF-5FE4-5148-A6FC-08EC47DF0208}"/>
    <hyperlink ref="A763" r:id="rId76" display="https://www.dropbox.com/scl/fi/rxlhk7jlpn7ts15e3w8xq/41205.pdf?rlkey=trznlrsuka7evv9po3mg3xg2q&amp;dl=0" xr:uid="{78C593DB-87DA-6F42-B3AD-AD8627EC5A0E}"/>
    <hyperlink ref="A779" r:id="rId77" display="https://www.dropbox.com/scl/fi/dqtvew7s3yf0unyslqi8q/41255.pdf?rlkey=k6ltkazdqgst3cqxyiw8dsads&amp;dl=0" xr:uid="{52AD9DE7-9E0D-A64F-9675-09F510545838}"/>
    <hyperlink ref="A778" r:id="rId78" display="https://www.dropbox.com/scl/fi/gnh9ow3jqm5g2asra8401/41254.pdf?rlkey=0fl21unp5nyuhzxcyeuee8g7j&amp;dl=0" xr:uid="{97436770-0ACA-4C44-8AAB-7C8DF1632BF2}"/>
    <hyperlink ref="A774" r:id="rId79" display="https://www.dropbox.com/scl/fi/zbtyp2eesyc9lub3bfpj0/41241.pdf?rlkey=hqgaect0yrmu4hpaisr03yv9v&amp;dl=0" xr:uid="{57A71219-D847-F040-8BFF-5C8152192991}"/>
    <hyperlink ref="A797" r:id="rId80" display="https://www.dropbox.com/scl/fi/dhyd1m7689qxtgfn1yltq/41305.pdf?rlkey=4bz10vs5rr1pqrrpclizs2r8f&amp;dl=0" xr:uid="{56A202DA-985E-A64B-9F90-1F31212E1F60}"/>
    <hyperlink ref="A780" r:id="rId81" display="https://www.dropbox.com/scl/fi/rs4je97pbf3irjmphb211/41256.pdf?rlkey=zcumh6xbflyngxs69bw90voio&amp;dl=0" xr:uid="{CA86B6C8-0FCE-5846-A15A-6C38EE15E1FF}"/>
    <hyperlink ref="A831" r:id="rId82" display="https://www.dropbox.com/scl/fi/47iphha564qvuqrik4jq1/41364.pdf?rlkey=v2u9a7cfj55xlkvpyaky8ivpg&amp;dl=0" xr:uid="{5C34B19B-8DFE-A542-8256-6040A9CEA39F}"/>
    <hyperlink ref="A832" r:id="rId83" display="https://www.dropbox.com/scl/fi/6d7v8n3nhsc31o60j9wmq/41365.pdf?rlkey=8ilrdflduxzeg0livi77t3ct0&amp;dl=0" xr:uid="{8019E465-320E-DA40-BBEF-A944B0817FC5}"/>
    <hyperlink ref="A830" r:id="rId84" display="https://www.dropbox.com/scl/fi/4wy1ueu6ncaljwkkrkxx9/41363.pdf?rlkey=3lpnmvxao5g12r6vnnk7mxs74&amp;dl=0" xr:uid="{E06F6128-5C45-944C-A48F-688209A7FDE4}"/>
    <hyperlink ref="A812" r:id="rId85" display="https://www.dropbox.com/scl/fi/6u4m68ledc95e87wds61y/41336.pdf?rlkey=gj5lihzqvgru76c970560avx6&amp;dl=0" xr:uid="{FD9136A6-47A3-8646-B47C-1D4A84A0D305}"/>
    <hyperlink ref="A845" r:id="rId86" display="https://www.dropbox.com/scl/fi/n0s05qv0riqwv6tmxxp0r/41381.pdf?rlkey=n46hqf9qmlw4bajxe3jmys3l6&amp;dl=0" xr:uid="{7DC6BD7C-F811-8940-9472-600D61BDF097}"/>
    <hyperlink ref="A847" r:id="rId87" display="https://www.dropbox.com/scl/fi/oeas0p2lj9e5odftwnudu/41383.pdf?rlkey=fm9u3wx1wu35ki49bsef7f69i&amp;dl=0" xr:uid="{D5B862A1-7FA2-EF44-B62E-3B8B480806B2}"/>
    <hyperlink ref="A846" r:id="rId88" display="https://www.dropbox.com/scl/fi/qz642yoawqw0larbpz0my/41382.pdf?rlkey=4qhb05wzqjt14a36c7d0bu4ag&amp;dl=0" xr:uid="{F8321C07-8518-4E42-853D-61A94C7872E4}"/>
    <hyperlink ref="A848" r:id="rId89" display="https://www.dropbox.com/scl/fi/f9mv3ferz2tf2t1676wnq/41384.pdf?rlkey=etli6t7t6nidouc1qiv50q8js&amp;dl=0" xr:uid="{BFCB0384-0454-9D4D-81C2-E80A47D417D0}"/>
    <hyperlink ref="A740" r:id="rId90" display="https://www.dropbox.com/scl/fi/3ct2hzolobxu8he8xwkxl/41162.pdf?rlkey=z42qx1slzgts16lzmriskvabh&amp;dl=0" xr:uid="{332BC335-F378-6D42-8ED3-A8C5BC316CB7}"/>
    <hyperlink ref="A739" r:id="rId91" display="https://www.dropbox.com/scl/fi/jti7p888jrywjuramuprx/41161.pdf?rlkey=hps8jsmihymfz3qht7ssne9z1&amp;dl=0" xr:uid="{05012E99-CD50-5246-8F72-B15B73AE1A6D}"/>
    <hyperlink ref="A682" r:id="rId92" display="https://www.dropbox.com/scl/fi/nze9rdtjt5pp8ps4wbk68/41042.pdf?rlkey=onepl955bx4ff4ictv6u8ojni&amp;dl=0" xr:uid="{E04A3332-2EEE-3942-A7CC-F1435D5099E9}"/>
    <hyperlink ref="A809" r:id="rId93" display="https://www.dropbox.com/scl/fi/ha7c63chtsp4wjrpbux7z/41325.pdf?rlkey=p92yhxyumnyb14pue77himea9&amp;dl=0" xr:uid="{9759329C-AF60-884D-AFCB-0E8BA77F1FE5}"/>
    <hyperlink ref="A653" r:id="rId94" display="https://www.dropbox.com/scl/fi/kpkxesq891xep6b5kvwri/40969.pdf?rlkey=egvgcrtemt8c34vm8qnutbt37&amp;dl=0" xr:uid="{0305B353-F986-D44A-A5F5-13E51E34BEEA}"/>
    <hyperlink ref="A286" r:id="rId95" display="https://www.dropbox.com/scl/fi/4vg3j9j25638okhcjjj4a/40119.pdf?rlkey=gxgxhz54p33rk7lygwkelr3dp&amp;dl=0" xr:uid="{692E73AE-3ACE-7047-9945-44F4F5FD3420}"/>
    <hyperlink ref="A466" r:id="rId96" display="https://www.dropbox.com/scl/fi/lygqpgnmtia435cayl1fw/40432.pdf?rlkey=cojq94831ck4f3jdfcvuexrr0&amp;dl=0" xr:uid="{72900491-6F05-C74C-9B35-537004C8E6A9}"/>
    <hyperlink ref="A498" r:id="rId97" display="https://www.dropbox.com/scl/fi/v52ua1gj2b2kr1wqt4gfw/40479.pdf?rlkey=dpmb3jbmdz6k7shk7jy5xrwdv&amp;dl=0" xr:uid="{9834B4A6-757B-2940-8C86-C43C5077B2DD}"/>
    <hyperlink ref="A506" r:id="rId98" display="https://www.dropbox.com/scl/fi/maiobs16u1ex5nsfu2fvw/40491.pdf?rlkey=sf5t83u8apk5iti19ucdpl7l6&amp;dl=0" xr:uid="{463015AB-74ED-6348-9657-79AD2BF4979D}"/>
    <hyperlink ref="A552" r:id="rId99" display="https://www.dropbox.com/scl/fi/8af0pogofec9ptj5loa6g/40701.pdf?rlkey=gk514dgn3xzoquepyi0cah7yr&amp;dl=0" xr:uid="{0ADCF026-C251-3A4F-A087-B77E652BFA06}"/>
    <hyperlink ref="A596" r:id="rId100" display="https://www.dropbox.com/scl/fi/29f4pedw166o9lf11qcwh/40762.pdf?rlkey=9p4fqwa5133pabz7cjjexwmby&amp;dl=0" xr:uid="{5CE3A128-6BF1-B74D-A9D7-664F803DCD0C}"/>
    <hyperlink ref="A632" r:id="rId101" display="https://www.dropbox.com/scl/fi/jhurjnqfhkyo6huehj1c9/40912.pdf?rlkey=bonzyhxdoqtihzrtww9pgqgtp&amp;dl=0" xr:uid="{00B74849-84C2-EA49-9FF4-4FC892F6613B}"/>
    <hyperlink ref="A633" r:id="rId102" display="https://www.dropbox.com/scl/fi/k64d8fllufqtb7btjdfz2/40913.pdf?rlkey=7o4k0t1ukmu9jv5fh7ykef1vw&amp;dl=0" xr:uid="{A5402E8B-90F3-AC4D-9AD3-B1D98FB7D2E6}"/>
    <hyperlink ref="A634" r:id="rId103" display="https://www.dropbox.com/scl/fi/bqlptin5a3jvq1m1qodw8/40914.pdf?rlkey=ln56yjoxvb8nclohrjfvzxt6w&amp;dl=0" xr:uid="{5F6DBBFB-8B81-F246-B9A2-961E39280A8E}"/>
    <hyperlink ref="A635" r:id="rId104" display="https://www.dropbox.com/scl/fi/8s3lzr9j1yc0gw1k32gi9/40915.pdf?rlkey=h5w6hsrjb5m7lv99x6d5uails&amp;dl=0" xr:uid="{EA365D0F-C1D4-F74E-A3E9-55F1D32AD457}"/>
    <hyperlink ref="A647" r:id="rId105" display="https://www.dropbox.com/scl/fi/76lkw3s2rdodlfmy7pfgl/40958.pdf?rlkey=3sngy577xaakdta807cmkh8ts&amp;dl=0" xr:uid="{1975B368-EC99-354E-8C60-9E855B9FCE56}"/>
    <hyperlink ref="A651" r:id="rId106" display="https://www.dropbox.com/scl/fi/3vsx7ecal0sreqwxhnall/40965.pdf?rlkey=lzfpccpvs63j5jnfhjk6pvyo3&amp;dl=0" xr:uid="{61F0952E-39AE-A84E-8BF7-D906D5471123}"/>
    <hyperlink ref="A652" r:id="rId107" display="https://www.dropbox.com/scl/fi/2fe09k3cd4zjylgfhedi8/40968.pdf?rlkey=i491al6gksxc3qmfhzb1ap4g8&amp;dl=0" xr:uid="{02094553-7866-0C48-9682-5830F2610187}"/>
    <hyperlink ref="A654" r:id="rId108" display="https://www.dropbox.com/scl/fi/kecd4b0a7fvlnu4c41m01/40970.pdf?rlkey=wucaj0fh3b3pzxds4ugqi5ddz&amp;dl=0" xr:uid="{11632E89-55E5-B144-B5B9-2BFEE6090D60}"/>
    <hyperlink ref="A660" r:id="rId109" display="https://www.dropbox.com/scl/fi/8izklzkdnvj8q9qpnep0z/40988.pdf?rlkey=10zev8jbmumim6nsrpaiznad1&amp;dl=0" xr:uid="{7F9A274B-EEBC-E941-8D9E-E2265605D5AD}"/>
    <hyperlink ref="A661" r:id="rId110" display="https://www.dropbox.com/scl/fi/coadaq1vlbhlgyuaqsmrh/40991.pdf?rlkey=qkk8grmj2jv4yd5btkkrr0y9j&amp;dl=0" xr:uid="{22A442FA-F9E0-3E4D-B529-94B8267ECC02}"/>
    <hyperlink ref="A662" r:id="rId111" display="https://www.dropbox.com/scl/fi/w5yy7hjl8d9m8brtmr48o/40995.pdf?rlkey=kt0pxear4g2bsxpch9pffo6uk&amp;dl=0" xr:uid="{A371817A-0E2E-E44D-BDB4-51F401B9CF0C}"/>
    <hyperlink ref="A663" r:id="rId112" display="https://www.dropbox.com/scl/fi/bj1min3n3wruv1rcar8lm/40996.pdf?rlkey=6ibk7x6lb152six7wamcl16fj&amp;dl=0" xr:uid="{86C9EAC2-F7C1-7949-A264-F79C12928245}"/>
    <hyperlink ref="A665" r:id="rId113" display="https://www.dropbox.com/scl/fi/zdrq5z6ly6dncer301ha4/41004.pdf?rlkey=wfye48ro2zu6nv3p0vuy8808h&amp;dl=0" xr:uid="{69EF306A-8A8B-C846-80D0-07B412AEEE4B}"/>
    <hyperlink ref="A666" r:id="rId114" display="https://www.dropbox.com/scl/fi/twgv4ljixzjbplq47i21p/41005.pdf?rlkey=uw1ig3g4as7fh0zs9n3u5uy70&amp;dl=0" xr:uid="{9A8FEC69-5BCC-6948-B50A-0A17D560658C}"/>
    <hyperlink ref="A667" r:id="rId115" display="https://www.dropbox.com/scl/fi/byyhc5gmsiqt4xjebmeg2/41006.pdf?rlkey=mlpyer3scy3gaxeeelxd6n58w&amp;dl=0" xr:uid="{9EDD3562-1A2B-2B4E-AFA3-1036D58A53CD}"/>
    <hyperlink ref="A669" r:id="rId116" display="https://www.dropbox.com/scl/fi/ivs097flylwva0bq4skmy/41014.pdf?rlkey=uvfle3vzcpfzs9g6c04shtu2c&amp;dl=0" xr:uid="{B36E716A-21E9-EC4E-9D11-1AB15CF36DB7}"/>
    <hyperlink ref="A670" r:id="rId117" display="https://www.dropbox.com/scl/fi/y7vj9en6jo6d6puaualn9/41015.pdf?rlkey=x2hhgx0kjhbsmj3llf8brv6gy&amp;dl=0" xr:uid="{37440CDB-B7A1-1B48-9629-13E22F37535D}"/>
    <hyperlink ref="A671" r:id="rId118" display="https://www.dropbox.com/scl/fi/l666r4hsa4pl21ik3rceg/41016.pdf?rlkey=vomp1q6n8jkqvw419m3feydu5&amp;dl=0" xr:uid="{39BF02AA-32D6-4A42-923A-093C7B1FB3D4}"/>
    <hyperlink ref="A675" r:id="rId119" display="https://www.dropbox.com/scl/fi/qcp503bbtno3zp6k1bet2/41021.pdf?rlkey=avjspiil6s72ox58kdrwial8l&amp;dl=0" xr:uid="{959AA4C7-3C4B-2943-B82F-6430B7D75ED4}"/>
    <hyperlink ref="A676" r:id="rId120" display="https://www.dropbox.com/scl/fi/p74pcd3thitgmd9u4ph62/41027.pdf?rlkey=mam4jv6oals2cpfu9rl5aj8b6&amp;dl=0" xr:uid="{03F4151E-AC0C-C14B-9CD5-C6576DC35751}"/>
    <hyperlink ref="A677" r:id="rId121" display="41030.pdf" xr:uid="{241BEAF7-3019-DE41-8F2C-93B1CFDF5DF0}"/>
    <hyperlink ref="A679" r:id="rId122" display="https://www.dropbox.com/scl/fi/0c4ctyor4thq24kz1x1o2/41037.pdf?rlkey=ye7hz37ggnwlsrowtfc8uiwac&amp;dl=0" xr:uid="{5EF67F32-A048-A64D-BB25-07C6D064624F}"/>
    <hyperlink ref="A680" r:id="rId123" display="https://www.dropbox.com/scl/fi/fjd2ena6sw2g99c3n8vqp/41040.pdf?rlkey=yk0f9fm3l2nkzdh8zuwisitdf&amp;dl=0" xr:uid="{EFD49EAB-E382-2346-914F-BDCB7BD49320}"/>
    <hyperlink ref="A681" r:id="rId124" display="https://www.dropbox.com/scl/fi/ssz8aemsbokl03ef9ockh/41041.pdf?rlkey=nlhqqj3jr9x0mcrl0rusub1gh&amp;dl=0" xr:uid="{CA07F572-6BEB-8C4B-ADCF-7AD87F251DF5}"/>
    <hyperlink ref="A684" r:id="rId125" display="https://www.dropbox.com/scl/fi/srycbzzmu7oq8vx78kgwg/41049.pdf?rlkey=f1g6vdt59xlmltpj7l393m012&amp;dl=0" xr:uid="{00D27739-2BCC-8743-A6E8-0A7C5CA49807}"/>
    <hyperlink ref="A685" r:id="rId126" display="https://www.dropbox.com/scl/fi/jovo7pm3n6nre3j14r3ut/41057.pdf?rlkey=vok6n5q6l6ytnjc2woi3pei6m&amp;dl=0" xr:uid="{0DFBC0F2-3088-D742-996A-420884AC8468}"/>
    <hyperlink ref="A687" r:id="rId127" display="https://www.dropbox.com/scl/fi/8g3go49outzzt3bcjrlql/41059.pdf?rlkey=6zdi5qmfsnq6h03c52pkll4bb&amp;dl=0" xr:uid="{2213D30F-CC5B-404F-BF4A-47DA8819319A}"/>
    <hyperlink ref="A688" r:id="rId128" display="https://www.dropbox.com/scl/fi/7wtagm779zn9ej7xgo1wt/41060.pdf?rlkey=4fft4f7dsnhqhbwq0n7rwz4b3&amp;dl=0" xr:uid="{E1443975-E173-9A43-9ADC-04AA1BBA7666}"/>
    <hyperlink ref="A689" r:id="rId129" display="https://www.dropbox.com/scl/fi/yfvh1fyx9nznc72z9pjmd/41061.pdf?rlkey=lv6dr6k4nmpd42r8bcymy71h5&amp;dl=0" xr:uid="{6656ABC3-1363-C146-A740-5A2DD6D751E3}"/>
    <hyperlink ref="A690" r:id="rId130" display="https://www.dropbox.com/scl/fi/zklieyw1lx568z0hlpbdr/41062.pdf?rlkey=fc9creu44o6bcgcd6zuw1p4ci&amp;dl=0" xr:uid="{515219F9-0707-4F4F-BBCB-7F85EA9C18DA}"/>
    <hyperlink ref="A696" r:id="rId131" display="https://www.dropbox.com/scl/fi/ysz8djjzrfkm2r4kar3go/41086.pdf?rlkey=2s0z9tv7sma4dhn0whug9d8cn&amp;dl=0" xr:uid="{6994A6D7-3560-C142-8D7E-904747463716}"/>
    <hyperlink ref="A697" r:id="rId132" display="https://www.dropbox.com/scl/fi/myyrn85pxgltic0ge8v3x/41090.pdf?rlkey=4bxd9rul5jcftw3zgw4naprvp&amp;dl=0" xr:uid="{D7E5122A-4641-B349-9690-2969E5E041DE}"/>
    <hyperlink ref="A698" r:id="rId133" display="https://www.dropbox.com/scl/fi/i2wt2pwz0mv7wk8enxke4/41091.pdf?rlkey=2zbu24co2vhsnr7pimckry9gb&amp;dl=0" xr:uid="{3B77F37D-8A74-2E49-8771-A06A8A354EBE}"/>
    <hyperlink ref="A700" r:id="rId134" display="https://www.dropbox.com/scl/fi/ex11dxgtqn7vqukj5tahx/41094.pdf?rlkey=oyswse9d81qymssp691r89fsk&amp;dl=0" xr:uid="{217C0A64-D857-2B47-98FD-8BB01F097946}"/>
    <hyperlink ref="A701" r:id="rId135" display="https://www.dropbox.com/scl/fi/qe8twxbk9kxwamukyyi4z/41095.pdf?rlkey=rpc7ciw2aeqsz9cebzy5p4lm6&amp;dl=0" xr:uid="{76D1CF82-46FC-1D4D-BE28-A19B26261110}"/>
    <hyperlink ref="A702" r:id="rId136" display="https://www.dropbox.com/scl/fi/i7wdpok1ivr0xrjl3m0j3/41096.pdf?rlkey=4fvzt1x00jaiy02oy2cknx1d1&amp;dl=0" xr:uid="{BD3F38FF-5016-324F-92F5-8C3C363B1F88}"/>
    <hyperlink ref="A703" r:id="rId137" display="https://www.dropbox.com/scl/fi/vo5knlflele6er8qvws3i/41097.pdf?rlkey=ryawqoi8htbsrvih6ly0eb9dh&amp;dl=0" xr:uid="{BB0D99C4-47B3-7842-A570-638022372E82}"/>
    <hyperlink ref="A704" r:id="rId138" display="https://www.dropbox.com/scl/fi/8tbewjl00la90idkrl3a1/41098.pdf?rlkey=iota03ne4nmzu2jsgyivbbdfi&amp;dl=0" xr:uid="{D2DC8A33-5B53-374F-96FC-9D9F89738CE8}"/>
    <hyperlink ref="A718" r:id="rId139" display="https://www.dropbox.com/scl/fi/tcd9dqzjpmkoghtv6yluc/41119.pdf?rlkey=f39m96vpb0hudkwrz8a69cpiu&amp;dl=0" xr:uid="{570298A2-1F02-1A40-8B3B-5F84514D4159}"/>
    <hyperlink ref="A719" r:id="rId140" display="https://www.dropbox.com/scl/fi/tyzrr3zv3wwbyk4pogx5f/41120.pdf?rlkey=yer9be8y8k5djck6jxhlxlbau&amp;dl=0" xr:uid="{EF873283-E4B3-B149-A58F-5F0262615198}"/>
    <hyperlink ref="A720" r:id="rId141" display="41121.pdf" xr:uid="{690E2C59-D720-4B4C-9D09-1509D3E2A14C}"/>
    <hyperlink ref="A721" r:id="rId142" display="https://www.dropbox.com/scl/fi/92omu5g2mhjmm7lh4q25k/41122.pdf?rlkey=74py1sif5biww5tfrq0eg27ei&amp;dl=0" xr:uid="{5C35ABE0-8031-9941-9F6E-AB0F1A5825BA}"/>
    <hyperlink ref="A722" r:id="rId143" display="https://www.dropbox.com/scl/fi/jdtq6gx6oe4uu5pzaiqqe/41127.pdf?rlkey=3wlapfz9ay2z7hus1tak1rai5&amp;dl=0" xr:uid="{DB531D87-3F50-784E-B397-5744C1BAD2B6}"/>
    <hyperlink ref="A724" r:id="rId144" display="https://www.dropbox.com/scl/fi/lc5qi5soimwgpg5lp44ov/41132.pdf?rlkey=qyejhuepcpn4k504kxyl0rqma&amp;dl=0" xr:uid="{06C21FAC-5669-0549-9762-7E8A783B9003}"/>
    <hyperlink ref="A725" r:id="rId145" display="https://www.dropbox.com/scl/fi/1ygucf4fo04td7z93n8in/41133.pdf?rlkey=tho161k1ez46ml0foequ37abq&amp;dl=0" xr:uid="{831234E1-BF5E-5E4A-9079-02D13A7AC16F}"/>
    <hyperlink ref="A726" r:id="rId146" display="https://www.dropbox.com/scl/fi/sogdst8ia6ije45td7tkc/41134.pdf?rlkey=gdzlv1xw8pt7p8togz4pnhjxw&amp;dl=0" xr:uid="{FD8A7C74-B317-8942-8277-99947A87FA86}"/>
    <hyperlink ref="A727" r:id="rId147" display="https://www.dropbox.com/scl/fi/0gwbrd96sm94on2dn5cgk/41135.pdf?rlkey=gg6ddkv19t9s8ogdln2kjfdo8&amp;dl=0" xr:uid="{2D49612A-7AEA-FB4C-AB40-5C251B61E59F}"/>
    <hyperlink ref="A728" r:id="rId148" display="https://www.dropbox.com/scl/fi/ihr5732y7ev3cc4amlfex/41137.pdf?rlkey=gcm1qtg8ep2gbu288p7ux8vj5&amp;dl=0" xr:uid="{A01CA1D9-4BB2-1F48-8089-7ED0FB11B2B8}"/>
    <hyperlink ref="A733" r:id="rId149" display="https://www.dropbox.com/scl/fi/hwr7gm15f1j09zdrxxpc2/41152.pdf?rlkey=o0nfxr9rrtdc694i8s4b9j9nr&amp;dl=0" xr:uid="{A996568B-B447-9C4B-8A61-28A80A8C098E}"/>
    <hyperlink ref="A734" r:id="rId150" display="https://www.dropbox.com/scl/fi/fs7uxwerbb8fxlhoaiah3/41153.pdf?rlkey=0vunqrnru7y0l5je4hy88nhug&amp;dl=0" xr:uid="{848D732C-F3C2-804A-AD7D-C1B12E7BDB8A}"/>
    <hyperlink ref="A735" r:id="rId151" display="https://www.dropbox.com/scl/fi/kj9k9dryiu7dy3duae84r/41154.pdf?rlkey=jerc1zmws2rxr7hpkz0riaus1&amp;dl=0" xr:uid="{DD42AED2-CD94-D741-88F2-46F5257FFAF9}"/>
    <hyperlink ref="A737" r:id="rId152" display="https://www.dropbox.com/scl/fi/o8fj4l11vpq52j3j9uftr/41158.pdf?rlkey=a85va6qh20f1yejf0tqqxlrcg&amp;dl=0" xr:uid="{352382EF-AD4B-D942-B809-82DBA28EF686}"/>
    <hyperlink ref="A741" r:id="rId153" display="https://www.dropbox.com/scl/fi/4ir1lu1yl8wq8myddvrfh/41163.pdf?rlkey=mc971y6my15sy2hgryt4n7jeu&amp;dl=0" xr:uid="{A2E7B3E7-1736-8C4A-8C38-4C5D45595C72}"/>
    <hyperlink ref="A742" r:id="rId154" display="https://www.dropbox.com/scl/fi/176nrr5unsygbn7faz86o/41164.pdf?rlkey=f9yv0qbarkapl2bsisc3sm7hw&amp;dl=0" xr:uid="{E940ADC5-0F9A-7144-959E-014EBA99CD91}"/>
    <hyperlink ref="A744" r:id="rId155" display="https://www.dropbox.com/scl/fi/0dssxpyb3j3pm6duwdkdq/41168.pdf?rlkey=z597tye0ksu0eeihn1s5i67xf&amp;dl=0" xr:uid="{83FCB2FA-67F6-9C4F-BB98-8001B5541F62}"/>
    <hyperlink ref="A745" r:id="rId156" display="https://www.dropbox.com/scl/fi/49jikmls7qflns2iqqojy/41169.pdf?rlkey=903puadskvpbpolseoztmgwue&amp;dl=0" xr:uid="{6001F542-1D69-F748-A37E-709309466CE7}"/>
    <hyperlink ref="A746" r:id="rId157" display="https://www.dropbox.com/scl/fi/1jamp81j5wzbbhcbit3y3/41172.pdf?rlkey=jcgxt16pepf2jpeavxxrrhwv4&amp;dl=0" xr:uid="{96D526A4-EC10-3E47-BAD5-621BDBECEAD4}"/>
    <hyperlink ref="A747" r:id="rId158" display="41177.pdf" xr:uid="{3A8E162A-70F4-A348-A991-309647192B8C}"/>
    <hyperlink ref="A748" r:id="rId159" display="https://www.dropbox.com/scl/fi/zcisp5crisasfesqtb5x0/41179.pdf?rlkey=3c0ousouu0ixd51ou2ujxqsno&amp;dl=0" xr:uid="{F59CE9CD-A2B7-6B43-AD11-58E9D661928D}"/>
    <hyperlink ref="A749" r:id="rId160" display="https://www.dropbox.com/scl/fi/2t79kw867j03x5tane00v/41180.pdf?rlkey=cmuodxbsnr30hzzdg6pvsg80x&amp;dl=0" xr:uid="{E1E954EA-30CC-684A-94CE-1DE2D0F52A14}"/>
    <hyperlink ref="A754" r:id="rId161" display="https://www.dropbox.com/scl/fi/q8713xoygl8wfk19iizco/41186.pdf?rlkey=fmbur3sxd218asxmbl5oqiqwh&amp;dl=0" xr:uid="{236F6F72-CB2A-F049-BE88-07D3F865F4D0}"/>
    <hyperlink ref="A756" r:id="rId162" display="https://www.dropbox.com/scl/fi/fwpys3socupbbhctb2185/41195.pdf?rlkey=yofne2zq7qyin6yzy8w7o38f4&amp;dl=0" xr:uid="{5AE92275-C030-1248-B0B5-30490D537F0B}"/>
    <hyperlink ref="A757" r:id="rId163" display="https://www.dropbox.com/scl/fi/4e6pnkg0f9xlxt9mgqqor/41196.pdf?rlkey=prswt5033n215jxyn6fbti5ub&amp;dl=0" xr:uid="{3461B1AA-505F-4344-BE1C-8FC6D9035565}"/>
    <hyperlink ref="A758" r:id="rId164" display="https://www.dropbox.com/scl/fi/4y3d4n3pm9gx7tqkkng7l/41197.pdf?rlkey=x645n4sc3plrhgkwismnj9jds&amp;dl=0" xr:uid="{2215A82C-468F-3A42-B3D5-E60D77D95E57}"/>
    <hyperlink ref="A759" r:id="rId165" display="https://www.dropbox.com/scl/fi/q2ejk2ema3dif0x4r8069/41198.pdf?rlkey=f90ieyhsu4zy5jll31qwyxxzn&amp;dl=0" xr:uid="{C00EA382-CD85-D845-B7FC-2B7EA7CE7BF3}"/>
    <hyperlink ref="A760" r:id="rId166" display="https://www.dropbox.com/scl/fi/u5bu2ln5ci8ia8zd25gpx/41199.pdf?rlkey=4ivr6y8zdu5vbedigpsx5wmof&amp;dl=0" xr:uid="{2DAA6F33-ED94-6740-8BE7-DFC2D91337BF}"/>
    <hyperlink ref="A761" r:id="rId167" display="https://www.dropbox.com/scl/fi/bx9n9u2tn2yjwnmosjwj5/41203.pdf?rlkey=mkwgf1dkmniojg3s4z6f3syah&amp;dl=0" xr:uid="{FE425180-8D92-EB4F-ADF4-18BFB0C6D223}"/>
    <hyperlink ref="A762" r:id="rId168" display="https://www.dropbox.com/scl/fi/1ft37zm3vjwlbkdzmj8fh/41204.pdf?rlkey=38t0yh0pxnlqqfpjw3wayxb0r&amp;dl=0" xr:uid="{0C54C5F8-C77A-1144-AB06-02D97796A318}"/>
    <hyperlink ref="A765" r:id="rId169" display="https://www.dropbox.com/scl/fi/9k0pklehg6dl40t3bi3sc/41209.pdf?rlkey=t1qm5pdf560mb6q9ljkr9ufrw&amp;dl=0" xr:uid="{08A71789-085D-C048-B349-48BACBA6DE32}"/>
    <hyperlink ref="A766" r:id="rId170" display="https://www.dropbox.com/scl/fi/4el0o79kxggt6hsz10li0/41211.pdf?rlkey=xc5gj7b3ipo3fk91wgt8l8u9h&amp;dl=0" xr:uid="{19D09432-32E7-0646-A9C8-A69D85D34AB9}"/>
    <hyperlink ref="A768" r:id="rId171" display="https://www.dropbox.com/scl/fi/1jj4g1zai11zn9ic7qaiw/41213.pdf?rlkey=vpoai9ebc5ycnu8qejfg2ut6m&amp;dl=0" xr:uid="{67E081E6-95AB-3943-B97D-5C817ADA0E91}"/>
    <hyperlink ref="A769" r:id="rId172" display="https://www.dropbox.com/scl/fi/c0432ydqyye0jlf5hvztv/41231.pdf?rlkey=z2lzo756ufokisfc9ldbk7wa6&amp;dl=0" xr:uid="{771BFE30-E6FC-934C-B574-047ABB004E07}"/>
    <hyperlink ref="A771" r:id="rId173" display="https://www.dropbox.com/scl/fi/i8ryoo22rpg0dapirceua/41238.pdf?rlkey=s9pkexrj2hlwkhs8kngrzt4l2&amp;dl=0" xr:uid="{75F2AA39-DCCE-AF4B-97B2-2E9F96233C7D}"/>
    <hyperlink ref="A775" r:id="rId174" display="https://www.dropbox.com/scl/fi/ktwaxutlg5ur2oz6208hu/41244.pdf?rlkey=3t6ux9icodtoasxxf68z6zl6f&amp;dl=0" xr:uid="{A3CB941C-741A-914E-9983-EEA23FF44A82}"/>
    <hyperlink ref="A783" r:id="rId175" display="https://www.dropbox.com/scl/fi/1jv5fjf9w17wj9dg12dqt/41260.pdf?rlkey=ey550v3xsz18fkt2q8h8g7tzi&amp;dl=0" xr:uid="{CF92F92A-2CD8-6D43-9ED0-E3EF67DA436B}"/>
    <hyperlink ref="A786" r:id="rId176" display="https://www.dropbox.com/scl/fi/99speg1cy2hhmrwllkotn/41265.pdf?rlkey=9y2pcjkp03n1a2w9pzseqenok&amp;dl=0" xr:uid="{AA1C6E8E-241C-884C-99DA-1EA3D8551DA1}"/>
    <hyperlink ref="A787" r:id="rId177" display="https://www.dropbox.com/scl/fi/9yva42iud08j7494jrov0/41266.pdf?rlkey=wbez2ghxpygtl3tq7t325y2yn&amp;dl=0" xr:uid="{F51754D3-171B-CE46-8205-D5B4F093EE7D}"/>
    <hyperlink ref="A788" r:id="rId178" display="https://www.dropbox.com/scl/fi/s976tymb010bntn81obt0/41267.pdf?rlkey=9wiafp2j5khrbm8ewpkst6vjf&amp;dl=0" xr:uid="{D2601154-97D2-4740-97D5-66A633123AC2}"/>
    <hyperlink ref="A790" r:id="rId179" display="https://www.dropbox.com/scl/fi/659rbnmfophnw4jzcoxto/41271.pdf?rlkey=jpiwam368cs7a33x04d52lhvr&amp;dl=0" xr:uid="{3658E319-4026-4E44-A471-2027C103981B}"/>
    <hyperlink ref="A791" r:id="rId180" display="https://www.dropbox.com/scl/fi/ydrua6qlbwlgtksh4asxz/41274.pdf?rlkey=sbg2e9i7wq56eomv7z6yw2ep2&amp;dl=0" xr:uid="{1D7B5D67-6E3B-174D-A109-D9F3161BB331}"/>
    <hyperlink ref="A794" r:id="rId181" display="https://www.dropbox.com/scl/fi/52y7b9hs8k2p7bnrbds9t/41278.pdf?rlkey=257oz5xxdycc3thzn6ib45cvn&amp;dl=0" xr:uid="{CE2D97B4-F551-5347-BD70-C4E0D831964B}"/>
    <hyperlink ref="A795" r:id="rId182" display="https://www.dropbox.com/scl/fi/0h7xke3316cdkzcrx5h2h/41279.pdf?rlkey=04ke3661czv15imfd346o4kcc&amp;dl=0" xr:uid="{31C2D6F7-4F7B-984A-8C5A-BC8373BFFA09}"/>
    <hyperlink ref="A798" r:id="rId183" display="https://www.dropbox.com/scl/fi/lj67w8dpufj6kie30on8o/41310.pdf?rlkey=4ozpugx7qfva3sxqyalmcc4uu&amp;dl=0" xr:uid="{0C06C8F7-DFBF-D54B-97C4-4CF9BE8CB8B2}"/>
    <hyperlink ref="A804" r:id="rId184" display="https://www.dropbox.com/scl/fi/dkegcsz3dm9amjz8v1cxm/41317.pdf?rlkey=cm1ixbs7vhp68bt91rqkyyg8o&amp;dl=0" xr:uid="{63D2AF4E-ADA6-5141-B1F1-27A6F1715BD1}"/>
    <hyperlink ref="A805" r:id="rId185" display="https://www.dropbox.com/scl/fi/e4y77f1z9gtofv4ixjavx/41319.pdf?rlkey=4nk1h7mqad7up8bx6qtoh4os8&amp;dl=0" xr:uid="{9017D0B3-95F2-2C44-A495-5CCCFC7C2F05}"/>
    <hyperlink ref="A813" r:id="rId186" display="https://www.dropbox.com/scl/fi/gmaw23kcl99zrw0e0e0jo/41337.pdf?rlkey=an4yhw670ecn0n2kbrl96f368&amp;dl=0" xr:uid="{2A045980-3D58-E04C-9745-13F693E9B62A}"/>
    <hyperlink ref="A814" r:id="rId187" display="https://www.dropbox.com/scl/fi/mmca9t8cyyxuolrt04j3i/41340.pdf?rlkey=d9a5mquevwimaoo6p4bpdfd94&amp;dl=0" xr:uid="{80940117-4392-0640-9992-3C912A666225}"/>
    <hyperlink ref="A815" r:id="rId188" display="https://www.dropbox.com/scl/fi/gp5kxpfhh7x5gd7achg9k/41341.pdf?rlkey=du0c105al8o9wjjzp0if5lbnj&amp;dl=0" xr:uid="{FDAAC9F5-9F87-0943-A84C-830B86D21BC6}"/>
    <hyperlink ref="A816" r:id="rId189" display="https://www.dropbox.com/scl/fi/u01caf0bblgqjv6ig9a5m/41344.pdf?rlkey=0vuwpgkp1e598m7zdcabz15c9&amp;dl=0" xr:uid="{258015FE-8B7F-1D48-BC8D-C74C14B6683D}"/>
    <hyperlink ref="A817" r:id="rId190" display="https://www.dropbox.com/scl/fi/w4aqd5zh79f6y4q6qfejq/41349.pdf?rlkey=x5e4u3nvny48y6kvr7m4e9dl0&amp;dl=0" xr:uid="{BA4A80AB-028A-6C4A-8B9F-0AAE052FE708}"/>
    <hyperlink ref="A818" r:id="rId191" display="https://www.dropbox.com/scl/fi/kzfhqwc93sa820wa7xfas/41350.pdf?rlkey=dh61oe4ijhth6nc0n513eycc1&amp;dl=0" xr:uid="{FE97A3BA-9090-FB4B-86D6-7442585B4E34}"/>
    <hyperlink ref="A819" r:id="rId192" display="https://www.dropbox.com/scl/fi/3wqszztsi76ccas2r14xd/41351.pdf?rlkey=zleuskum77lrhkqxc5y3nq8vj&amp;dl=0" xr:uid="{544EB894-772B-484E-8B54-44AF65C4C008}"/>
    <hyperlink ref="A820" r:id="rId193" display="https://www.dropbox.com/scl/fi/hm6h05tc3ato4etbsi4vt/41352.pdf?rlkey=2oxdkjnw1ezr81bcuf6kqmsr6&amp;dl=0" xr:uid="{6A248BA5-E6EE-3D41-A87E-E320CCD1C5E2}"/>
    <hyperlink ref="A821" r:id="rId194" display="https://www.dropbox.com/scl/fi/p1qh1kukrxkoiv4hdre0p/41353.pdf?rlkey=cepzgvvf1bs6xjho7dqzd5wbh&amp;dl=0" xr:uid="{58058FE8-B6AF-4B40-BB84-E03EFCFD80D8}"/>
    <hyperlink ref="A822" r:id="rId195" display="https://www.dropbox.com/scl/fi/1u6q5olwurhc2baqjsm2u/41354.pdf?rlkey=b1dadpqtaqltpn0j522refdps&amp;dl=0" xr:uid="{94BDC109-EA6B-F640-AC6D-156FAEF03C58}"/>
    <hyperlink ref="A823" r:id="rId196" display="https://www.dropbox.com/scl/fi/ic3tswcb9jsq8e3syw1ih/41355.pdf?rlkey=61vsksgxosnerovqv478n28zt&amp;dl=0" xr:uid="{8AB0F0A8-05CC-7E4B-ABC8-31B80EE51EFD}"/>
    <hyperlink ref="A824" r:id="rId197" display="https://www.dropbox.com/scl/fi/svtjvpvd7a4zu8v3lvcxu/41356.pdf?rlkey=h2elmw852rl11w3s9penle29u&amp;dl=0" xr:uid="{4AFB3FBB-B8BE-DF4F-A1A8-61BA34A026AD}"/>
    <hyperlink ref="A825" r:id="rId198" display="https://www.dropbox.com/scl/fi/dskx2q2ixprq59viikesh/41357.pdf?rlkey=yot4v15j8xc4ws0n07v6gkpk3&amp;dl=0" xr:uid="{3469B2CA-4ADE-4148-991C-7C3033FDBC27}"/>
    <hyperlink ref="A826" r:id="rId199" display="https://www.dropbox.com/scl/fi/hwararceqonenfv54ebm2/41358.pdf?rlkey=dsk44ev22o64tj83s9msncomc&amp;dl=0" xr:uid="{D15CDF0E-E1C7-BF49-83C0-8180DB8E71A6}"/>
    <hyperlink ref="A827" r:id="rId200" display="https://www.dropbox.com/scl/fi/1pmhsst5xgsvv8q5sksl2/41359.pdf?rlkey=krf1i0gom24rgfff3iwqe5uw9&amp;dl=0" xr:uid="{4BD4F41B-AFFF-624B-A4FA-CDE5B0F153A7}"/>
    <hyperlink ref="A828" r:id="rId201" display="https://www.dropbox.com/scl/fi/xf7oeor7yhrrdcc8iduo3/41360.pdf?rlkey=axliaq211bjbxbekgxewtxecr&amp;dl=0" xr:uid="{AC106EF0-B1C0-F247-8FAC-930176455880}"/>
    <hyperlink ref="A833" r:id="rId202" display="https://www.dropbox.com/scl/fi/m2xzh0gwbpwne5dodnbb9/41368.pdf?rlkey=2m7mryj60wg9ihpqw553v6wp4&amp;dl=0" xr:uid="{009597BC-19F2-F949-A356-4ABD4C3F83BE}"/>
    <hyperlink ref="A834" r:id="rId203" display="https://www.dropbox.com/scl/fi/lzoo8ayjst8ibt5u79vqt/41369.pdf?rlkey=m4gngbv70ks9lhmkkvogeksx7&amp;dl=0" xr:uid="{05DFCFE9-4A2B-534E-A8FD-CAAE0EDA43B5}"/>
    <hyperlink ref="A835" r:id="rId204" display="https://www.dropbox.com/scl/fi/igh6b88j3ohhngyhgql4d/41370.pdf?rlkey=mtgb9m262authpuj7vuw35dhr&amp;dl=0" xr:uid="{08005741-1744-E545-849E-177000F72001}"/>
    <hyperlink ref="A836" r:id="rId205" display="https://www.dropbox.com/scl/fi/0kuj5wpf3vkwteqx3hs8e/41371.pdf?rlkey=poqiw3npzs3h6lkuadk6zk6bn&amp;dl=0" xr:uid="{7A009DBA-61F0-3341-ACB1-87D208887B2F}"/>
    <hyperlink ref="A837" r:id="rId206" display="https://www.dropbox.com/scl/fi/2brwj9afnrnfp330ti8ut/41372.pdf?rlkey=i80x7ysn0hc70k6qidcmv7w3y&amp;dl=0" xr:uid="{736EB164-475C-FC42-B9A5-A5C81CFAF4F9}"/>
    <hyperlink ref="A838" r:id="rId207" display="https://www.dropbox.com/scl/fi/4xei0td32qtk31wj6crpn/41373.pdf?rlkey=veegwxiavt4ogb27tkw2ez1jw&amp;dl=0" xr:uid="{113DEFF9-90A1-894C-AB3D-C098CD665F95}"/>
    <hyperlink ref="A839" r:id="rId208" display="https://www.dropbox.com/scl/fi/iiba448kkgy6tj58o0hkg/41374.pdf?rlkey=v10b74a0u2uju0thhy263ggoz&amp;dl=0" xr:uid="{3DAD7893-C497-E247-B8A3-C52592FBB687}"/>
    <hyperlink ref="A840" r:id="rId209" display="https://www.dropbox.com/scl/fi/o6ii07k2yvhk6rlzydvn7/41375.pdf?rlkey=fyitj53o61pwe9qjrmo6qi0sm&amp;dl=0" xr:uid="{1315322E-E81A-484D-8E24-0AD2DA393DA0}"/>
    <hyperlink ref="A841" r:id="rId210" display="https://www.dropbox.com/scl/fi/7xq8tnylvmuv58xbqdbh2/41376.pdf?rlkey=o12q34b82841cwq5pfob7lsq5&amp;dl=0" xr:uid="{582F9906-2433-9445-B426-FB8DAE48628F}"/>
    <hyperlink ref="A842" r:id="rId211" display="https://www.dropbox.com/scl/fi/0i2z9tcnmxtgdwtcl82tr/41377.pdf?rlkey=c3w5tiay1sy4xp8xz1lmq2qcw&amp;dl=0" xr:uid="{876A85F2-CF0A-A546-93B9-D2D3CD5DFACE}"/>
    <hyperlink ref="A843" r:id="rId212" display="https://www.dropbox.com/scl/fi/rsjonjfim2was3879ww18/41378.pdf?rlkey=axjpzwye8etvcik8hju708fnz&amp;dl=0" xr:uid="{7D5BE26E-2380-2243-9B4A-BA90F28458E3}"/>
    <hyperlink ref="A844" r:id="rId213" display="https://www.dropbox.com/scl/fi/4o151yv06pa0pttt3nspc/41380.pdf?rlkey=5dp5cw5s9qkrfyhxo7u5f6bmh&amp;dl=0" xr:uid="{7C0DD7D4-67D0-0D42-BFB2-35FF60F94BE1}"/>
    <hyperlink ref="A849" r:id="rId214" display="41387.pdf" xr:uid="{1D08BCB4-5865-7941-B9F0-ABAB0F6D43CF}"/>
    <hyperlink ref="A850" r:id="rId215" display="https://www.dropbox.com/scl/fi/0qwdrbj0i1diyn3o6ci4p/41388.pdf?rlkey=kzfazwubddej32iddohfhlu75&amp;dl=0" xr:uid="{CB21A7CB-49D0-1C4B-820F-C809C8FEE565}"/>
    <hyperlink ref="A851" r:id="rId216" display="https://www.dropbox.com/scl/fi/yywojw53c18bg3bsrvdyv/41444.pdf?rlkey=kmet7sbm62tlb4ey6z1cp8tmz&amp;dl=0" xr:uid="{88AD0951-3116-A348-9077-353889729F5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9056D-B5E9-D849-993B-8C95DB1919B9}">
  <sheetPr>
    <tabColor theme="8" tint="0.59999389629810485"/>
  </sheetPr>
  <dimension ref="A1:N63"/>
  <sheetViews>
    <sheetView zoomScale="90" zoomScaleNormal="90" workbookViewId="0">
      <selection activeCell="Q13" sqref="Q13"/>
    </sheetView>
  </sheetViews>
  <sheetFormatPr defaultColWidth="11" defaultRowHeight="15.75" x14ac:dyDescent="0.25"/>
  <cols>
    <col min="2" max="5" width="13.375" customWidth="1"/>
    <col min="8" max="13" width="13.375" customWidth="1"/>
  </cols>
  <sheetData>
    <row r="1" spans="1:14" ht="36" customHeight="1" x14ac:dyDescent="0.25">
      <c r="A1" s="35" t="s">
        <v>350</v>
      </c>
      <c r="B1" s="35"/>
      <c r="C1" s="35"/>
      <c r="D1" s="35"/>
      <c r="E1" s="35"/>
      <c r="F1" s="18"/>
      <c r="G1" s="19"/>
      <c r="H1" s="35" t="s">
        <v>31</v>
      </c>
      <c r="I1" s="35"/>
      <c r="J1" s="35"/>
      <c r="K1" s="35"/>
      <c r="L1" s="35"/>
      <c r="M1" s="36">
        <f>M15/$F$15</f>
        <v>0.70470588235294118</v>
      </c>
      <c r="N1" s="36"/>
    </row>
    <row r="2" spans="1:14" x14ac:dyDescent="0.25">
      <c r="A2" s="9"/>
      <c r="B2" s="14" t="s">
        <v>209</v>
      </c>
      <c r="C2" s="14" t="s">
        <v>210</v>
      </c>
      <c r="D2" s="14" t="s">
        <v>208</v>
      </c>
      <c r="E2" s="14" t="s">
        <v>211</v>
      </c>
      <c r="F2" s="15" t="s">
        <v>202</v>
      </c>
      <c r="H2" s="9"/>
      <c r="I2" s="14" t="s">
        <v>209</v>
      </c>
      <c r="J2" s="14" t="s">
        <v>210</v>
      </c>
      <c r="K2" s="14" t="s">
        <v>208</v>
      </c>
      <c r="L2" s="14" t="s">
        <v>211</v>
      </c>
      <c r="M2" s="15" t="s">
        <v>202</v>
      </c>
      <c r="N2" s="15" t="s">
        <v>543</v>
      </c>
    </row>
    <row r="3" spans="1:14" x14ac:dyDescent="0.25">
      <c r="A3" t="s">
        <v>338</v>
      </c>
      <c r="B3">
        <f>COUNTIFS('Cats - 2025'!$D:$D,"0-6 months",'Cats - 2025'!$E:$E,"&gt;=01/01/2025",'Cats - 2025'!$E:$E,"&lt;=1/31/2025")</f>
        <v>13</v>
      </c>
      <c r="C3">
        <f>COUNTIFS('Cats - 2025'!$D:$D,"6-12 months",'Cats - 2025'!$E:$E,"&gt;=01/01/2025",'Cats - 2025'!$E:$E,"&lt;=1/31/2025")</f>
        <v>12</v>
      </c>
      <c r="D3">
        <f>COUNTIFS('Cats - 2025'!$D:$D,"Adult",'Cats - 2025'!$E:$E,"&gt;=01/01/2025",'Cats - 2025'!$E:$E,"&lt;=1/31/2025")</f>
        <v>29</v>
      </c>
      <c r="E3">
        <f>COUNTIFS('Cats - 2025'!$D:$D,"Senior",'Cats - 2025'!$E:$E,"&gt;=01/01/2025",'Cats - 2025'!$E:$E,"&lt;=1/31/2025")</f>
        <v>3</v>
      </c>
      <c r="F3" s="10">
        <f>SUM(B3:E3)</f>
        <v>57</v>
      </c>
      <c r="H3" t="s">
        <v>338</v>
      </c>
      <c r="I3">
        <f>COUNTIFS('Cats - 2025'!$D:$D,"0-6 months",'Cats - 2025'!$E:$E,"&gt;=01/01/2025",'Cats - 2025'!$E:$E,"&lt;=1/31/2025",'Cats - 2025'!$J:$J,"Euthanized")</f>
        <v>4</v>
      </c>
      <c r="J3">
        <f>COUNTIFS('Cats - 2025'!$D:$D,"6-12 months",'Cats - 2025'!$E:$E,"&gt;=01/01/2025",'Cats - 2025'!$E:$E,"&lt;=1/31/2025",'Cats - 2025'!$J:$J,"Euthanized")</f>
        <v>9</v>
      </c>
      <c r="K3">
        <f>COUNTIFS('Cats - 2025'!$D:$D,"Adult",'Cats - 2025'!$E:$E,"&gt;=01/01/2025",'Cats - 2025'!$E:$E,"&lt;=1/31/2025",'Cats - 2025'!$J:$J,"Euthanized")</f>
        <v>17</v>
      </c>
      <c r="L3">
        <f>COUNTIFS('Cats - 2025'!$D:$D,"Senior",'Cats - 2025'!$E:$E,"&gt;=01/01/2025",'Cats - 2025'!$E:$E,"&lt;=1/31/2025",'Cats - 2025'!$J:$J,"Euthanized")</f>
        <v>3</v>
      </c>
      <c r="M3" s="10">
        <f>SUM(I3:L3)</f>
        <v>33</v>
      </c>
      <c r="N3" s="21">
        <f>SUM(M3/F3)</f>
        <v>0.57894736842105265</v>
      </c>
    </row>
    <row r="4" spans="1:14" x14ac:dyDescent="0.25">
      <c r="A4" t="s">
        <v>339</v>
      </c>
      <c r="B4">
        <f>COUNTIFS('Cats - 2025'!$D:$D,"0-6 months",'Cats - 2025'!$E:$E,"&gt;=02/01/2025",'Cats - 2025'!$E:$E,"&lt;=2/28/2025")</f>
        <v>22</v>
      </c>
      <c r="C4">
        <f>COUNTIFS('Cats - 2025'!$D:$D,"6-12 months",'Cats - 2025'!$E:$E,"&gt;=02/01/2025",'Cats - 2025'!$E:$E,"&lt;=2/28/2025")</f>
        <v>9</v>
      </c>
      <c r="D4">
        <f>COUNTIFS('Cats - 2025'!$D:$D,"Adult",'Cats - 2025'!$E:$E,"&gt;=02/01/2025",'Cats - 2025'!$E:$E,"&lt;=2/28/2025")</f>
        <v>42</v>
      </c>
      <c r="E4">
        <f>COUNTIFS('Cats - 2025'!$D:$D,"Senior",'Cats - 2025'!$E:$E,"&gt;=02/01/2025",'Cats - 2025'!$E:$E,"&lt;=2/28/2025")</f>
        <v>2</v>
      </c>
      <c r="F4" s="10">
        <f t="shared" ref="F4:F14" si="0">SUM(B4:E4)</f>
        <v>75</v>
      </c>
      <c r="H4" t="s">
        <v>339</v>
      </c>
      <c r="I4">
        <f>COUNTIFS('Cats - 2025'!$D:$D,"0-6 months",'Cats - 2025'!$E:$E,"&gt;=02/01/2025",'Cats - 2025'!$E:$E,"&lt;=2/28/2025",'Cats - 2025'!$J:$J,"Euthanized")</f>
        <v>12</v>
      </c>
      <c r="J4">
        <f>COUNTIFS('Cats - 2025'!$D:$D,"6-12 months",'Cats - 2025'!$E:$E,"&gt;=02/01/2025",'Cats - 2025'!$E:$E,"&lt;=2/28/2025",'Cats - 2025'!$J:$J,"Euthanized")</f>
        <v>4</v>
      </c>
      <c r="K4">
        <f>COUNTIFS('Cats - 2025'!$D:$D,"Adult",'Cats - 2025'!$E:$E,"&gt;=02/01/2025",'Cats - 2025'!$E:$E,"&lt;=2/28/2025",'Cats - 2025'!$J:$J,"Euthanized")</f>
        <v>33</v>
      </c>
      <c r="L4">
        <f>COUNTIFS('Cats - 2025'!$D:$D,"Senior",'Cats - 2025'!$E:$E,"&gt;=02/01/2025",'Cats - 2025'!$E:$E,"&lt;=2/28/2025",'Cats - 2025'!$J:$J,"Euthanized")</f>
        <v>2</v>
      </c>
      <c r="M4" s="10">
        <f t="shared" ref="M4:M14" si="1">SUM(I4:L4)</f>
        <v>51</v>
      </c>
      <c r="N4" s="21">
        <f t="shared" ref="N4:N9" si="2">SUM(M4/F4)</f>
        <v>0.68</v>
      </c>
    </row>
    <row r="5" spans="1:14" x14ac:dyDescent="0.25">
      <c r="A5" t="s">
        <v>340</v>
      </c>
      <c r="B5">
        <f>COUNTIFS('Cats - 2025'!$D:$D,"0-6 months",'Cats - 2025'!$E:$E,"&gt;=03/01/2025",'Cats - 2025'!$E:$E,"&lt;=3/31/2025")</f>
        <v>39</v>
      </c>
      <c r="C5">
        <f>COUNTIFS('Cats - 2025'!$D:$D,"6-12 months",'Cats - 2025'!$E:$E,"&gt;=03/01/2025",'Cats - 2025'!$E:$E,"&lt;=3/31/2025")</f>
        <v>11</v>
      </c>
      <c r="D5">
        <f>COUNTIFS('Cats - 2025'!$D:$D,"Adult",'Cats - 2025'!$E:$E,"&gt;=03/01/2025",'Cats - 2025'!$E:$E,"&lt;=3/31/2025")</f>
        <v>72</v>
      </c>
      <c r="E5">
        <f>COUNTIFS('Cats - 2025'!$D:$D,"Senior",'Cats - 2025'!$E:$E,"&gt;=03/01/2025",'Cats - 2025'!$E:$E,"&lt;=3/31/2025")</f>
        <v>2</v>
      </c>
      <c r="F5" s="10">
        <f t="shared" si="0"/>
        <v>124</v>
      </c>
      <c r="H5" t="s">
        <v>340</v>
      </c>
      <c r="I5">
        <f>COUNTIFS('Cats - 2025'!$D:$D,"0-6 months",'Cats - 2025'!$E:$E,"&gt;=03/01/2025",'Cats - 2025'!$E:$E,"&lt;=3/31/2025",'Cats - 2025'!$J:$J,"Euthanized")</f>
        <v>25</v>
      </c>
      <c r="J5">
        <f>COUNTIFS('Cats - 2025'!$D:$D,"6-12 months",'Cats - 2025'!$E:$E,"&gt;=03/01/2025",'Cats - 2025'!$E:$E,"&lt;=3/31/2025",'Cats - 2025'!$J:$J,"Euthanized")</f>
        <v>6</v>
      </c>
      <c r="K5">
        <f>COUNTIFS('Cats - 2025'!$D:$D,"Adult",'Cats - 2025'!$E:$E,"&gt;=03/01/2025",'Cats - 2025'!$E:$E,"&lt;=3/31/2025",'Cats - 2025'!$J:$J,"Euthanized")</f>
        <v>51</v>
      </c>
      <c r="L5">
        <f>COUNTIFS('Cats - 2025'!$D:$D,"Senior",'Cats - 2025'!$E:$E,"&gt;=03/01/2025",'Cats - 2025'!$E:$E,"&lt;=3/31/2025",'Cats - 2025'!$J:$J,"Euthanized")</f>
        <v>2</v>
      </c>
      <c r="M5" s="10">
        <f t="shared" si="1"/>
        <v>84</v>
      </c>
      <c r="N5" s="21">
        <f t="shared" si="2"/>
        <v>0.67741935483870963</v>
      </c>
    </row>
    <row r="6" spans="1:14" x14ac:dyDescent="0.25">
      <c r="A6" t="s">
        <v>341</v>
      </c>
      <c r="B6">
        <f>COUNTIFS('Cats - 2025'!$D:$D,"0-6 months",'Cats - 2025'!$E:$E,"&gt;=04/01/2025",'Cats - 2025'!$E:$E,"&lt;=4/30/2025")</f>
        <v>60</v>
      </c>
      <c r="C6">
        <f>COUNTIFS('Cats - 2025'!$D:$D,"6-12 months",'Cats - 2025'!$E:$E,"&gt;=04/01/2025",'Cats - 2025'!$E:$E,"&lt;=4/30/2025")</f>
        <v>0</v>
      </c>
      <c r="D6">
        <f>COUNTIFS('Cats - 2025'!$D:$D,"Adult",'Cats - 2025'!$E:$E,"&gt;=04/01/2025",'Cats - 2025'!$E:$E,"&lt;=4/30/2025")</f>
        <v>49</v>
      </c>
      <c r="E6">
        <f>COUNTIFS('Cats - 2025'!$D:$D,"Senior",'Cats - 2025'!$E:$E,"&gt;=04/01/2025",'Cats - 2025'!$E:$E,"&lt;=4/30/2025")</f>
        <v>1</v>
      </c>
      <c r="F6" s="10">
        <f t="shared" si="0"/>
        <v>110</v>
      </c>
      <c r="H6" t="s">
        <v>341</v>
      </c>
      <c r="I6">
        <f>COUNTIFS('Cats - 2025'!$D:$D,"0-6 months",'Cats - 2025'!$E:$E,"&gt;=04/01/2025",'Cats - 2025'!$E:$E,"&lt;=4/30/2025",'Cats - 2025'!$J:$J,"Euthanized")</f>
        <v>39</v>
      </c>
      <c r="J6">
        <f>COUNTIFS('Cats - 2025'!$D:$D,"6-12 months",'Cats - 2025'!$E:$E,"&gt;=04/01/2025",'Cats - 2025'!$E:$E,"&lt;=4/30/2025",'Cats - 2025'!$J:$J,"Euthanized")</f>
        <v>0</v>
      </c>
      <c r="K6">
        <f>COUNTIFS('Cats - 2025'!$D:$D,"Adult",'Cats - 2025'!$E:$E,"&gt;=04/01/2025",'Cats - 2025'!$E:$E,"&lt;=4/30/2025",'Cats - 2025'!$J:$J,"Euthanized")</f>
        <v>37</v>
      </c>
      <c r="L6">
        <f>COUNTIFS('Cats - 2025'!$D:$D,"Senior",'Cats - 2025'!$E:$E,"&gt;=04/01/2025",'Cats - 2025'!$E:$E,"&lt;=4/30/2025",'Cats - 2025'!$J:$J,"Euthanized")</f>
        <v>0</v>
      </c>
      <c r="M6" s="10">
        <f t="shared" si="1"/>
        <v>76</v>
      </c>
      <c r="N6" s="21">
        <f t="shared" si="2"/>
        <v>0.69090909090909092</v>
      </c>
    </row>
    <row r="7" spans="1:14" x14ac:dyDescent="0.25">
      <c r="A7" t="s">
        <v>342</v>
      </c>
      <c r="B7">
        <f>COUNTIFS('Cats - 2025'!$D:$D,"0-6 months",'Cats - 2025'!$E:$E,"&gt;=05/01/2025",'Cats - 2025'!$E:$E,"&lt;=5/31/2025")</f>
        <v>156</v>
      </c>
      <c r="C7">
        <f>COUNTIFS('Cats - 2025'!$D:$D,"6-12 months",'Cats - 2025'!$E:$E,"&gt;=05/01/2025",'Cats - 2025'!$E:$E,"&lt;=5/31/2025")</f>
        <v>5</v>
      </c>
      <c r="D7">
        <f>COUNTIFS('Cats - 2025'!$D:$D,"Adult",'Cats - 2025'!$E:$E,"&gt;=05/01/2025",'Cats - 2025'!$E:$E,"&lt;=5/31/2025")</f>
        <v>65</v>
      </c>
      <c r="E7">
        <f>COUNTIFS('Cats - 2025'!$D:$D,"Senior",'Cats - 2025'!$E:$E,"&gt;=05/01/2025",'Cats - 2025'!$E:$E,"&lt;=5/31/2025")</f>
        <v>3</v>
      </c>
      <c r="F7" s="10">
        <f t="shared" si="0"/>
        <v>229</v>
      </c>
      <c r="H7" t="s">
        <v>342</v>
      </c>
      <c r="I7">
        <f>COUNTIFS('Cats - 2025'!$D:$D,"0-6 months",'Cats - 2025'!$E:$E,"&gt;=05/01/2025",'Cats - 2025'!$E:$E,"&lt;=5/31/2025",'Cats - 2025'!$J:$J,"Euthanized")</f>
        <v>111</v>
      </c>
      <c r="J7">
        <f>COUNTIFS('Cats - 2025'!$D:$D,"6-12 months",'Cats - 2025'!$E:$E,"&gt;=05/01/2025",'Cats - 2025'!$E:$E,"&lt;=5/31/2025",'Cats - 2025'!$J:$J,"Euthanized")</f>
        <v>3</v>
      </c>
      <c r="K7">
        <f>COUNTIFS('Cats - 2025'!$D:$D,"Adult",'Cats - 2025'!$E:$E,"&gt;=05/01/2025",'Cats - 2025'!$E:$E,"&lt;=5/31/2025",'Cats - 2025'!$J:$J,"Euthanized")</f>
        <v>46</v>
      </c>
      <c r="L7">
        <f>COUNTIFS('Cats - 2025'!$D:$D,"Senior",'Cats - 2025'!$E:$E,"&gt;=05/01/2025",'Cats - 2025'!$E:$E,"&lt;=5/31/2025",'Cats - 2025'!$J:$J,"Euthanized")</f>
        <v>3</v>
      </c>
      <c r="M7" s="10">
        <f t="shared" si="1"/>
        <v>163</v>
      </c>
      <c r="N7" s="21">
        <f t="shared" si="2"/>
        <v>0.71179039301310043</v>
      </c>
    </row>
    <row r="8" spans="1:14" x14ac:dyDescent="0.25">
      <c r="A8" t="s">
        <v>343</v>
      </c>
      <c r="B8">
        <f>COUNTIFS('Cats - 2025'!$D:$D,"0-6 months",'Cats - 2025'!$E:$E,"&gt;=06/01/2025",'Cats - 2025'!$E:$E,"&lt;=6/30/2025")</f>
        <v>64</v>
      </c>
      <c r="C8">
        <f>COUNTIFS('Cats - 2025'!$D:$D,"6-12 months",'Cats - 2025'!$E:$E,"&gt;=06/01/2025",'Cats - 2025'!$E:$E,"&lt;=6/30/2025")</f>
        <v>6</v>
      </c>
      <c r="D8">
        <f>COUNTIFS('Cats - 2025'!$D:$D,"Adult",'Cats - 2025'!$E:$E,"&gt;=06/01/2025",'Cats - 2025'!$E:$E,"&lt;=6/30/2025")</f>
        <v>17</v>
      </c>
      <c r="E8">
        <f>COUNTIFS('Cats - 2025'!$D:$D,"Senior",'Cats - 2025'!$E:$E,"&gt;=06/01/2025",'Cats - 2025'!$E:$E,"&lt;=6/30/2025")</f>
        <v>2</v>
      </c>
      <c r="F8" s="10">
        <f t="shared" si="0"/>
        <v>89</v>
      </c>
      <c r="H8" t="s">
        <v>343</v>
      </c>
      <c r="I8">
        <f>COUNTIFS('Cats - 2025'!$D:$D,"0-6 months",'Cats - 2025'!$E:$E,"&gt;=06/01/2025",'Cats - 2025'!$E:$E,"&lt;=6/30/2025",'Cats - 2025'!$J:$J,"Euthanized")</f>
        <v>46</v>
      </c>
      <c r="J8">
        <f>COUNTIFS('Cats - 2025'!$D:$D,"6-12 months",'Cats - 2025'!$E:$E,"&gt;=06/01/2025",'Cats - 2025'!$E:$E,"&lt;=6/30/2025",'Cats - 2025'!$J:$J,"Euthanized")</f>
        <v>5</v>
      </c>
      <c r="K8">
        <f>COUNTIFS('Cats - 2025'!$D:$D,"Adult",'Cats - 2025'!$E:$E,"&gt;=06/01/2025",'Cats - 2025'!$E:$E,"&lt;=6/30/2025",'Cats - 2025'!$J:$J,"Euthanized")</f>
        <v>8</v>
      </c>
      <c r="L8">
        <f>COUNTIFS('Cats - 2025'!$D:$D,"Senior",'Cats - 2025'!$E:$E,"&gt;=06/01/2025",'Cats - 2025'!$E:$E,"&lt;=6/30/2025",'Cats - 2025'!$J:$J,"Euthanized")</f>
        <v>2</v>
      </c>
      <c r="M8" s="10">
        <f t="shared" si="1"/>
        <v>61</v>
      </c>
      <c r="N8" s="21">
        <f t="shared" si="2"/>
        <v>0.6853932584269663</v>
      </c>
    </row>
    <row r="9" spans="1:14" x14ac:dyDescent="0.25">
      <c r="A9" t="s">
        <v>344</v>
      </c>
      <c r="B9">
        <f>COUNTIFS('Cats - 2025'!$D:$D,"0-6 months",'Cats - 2025'!$E:$E,"&gt;=07/01/2025",'Cats - 2025'!$E:$E,"&lt;=7/31/2025")</f>
        <v>120</v>
      </c>
      <c r="C9">
        <f>COUNTIFS('Cats - 2025'!$D:$D,"6-12 months",'Cats - 2025'!$E:$E,"&gt;=07/01/2025",'Cats - 2025'!$E:$E,"&lt;=7/31/2025")</f>
        <v>2</v>
      </c>
      <c r="D9">
        <f>COUNTIFS('Cats - 2025'!$D:$D,"Adult",'Cats - 2025'!$E:$E,"&gt;=07/01/2025",'Cats - 2025'!$E:$E,"&lt;=7/31/2025")</f>
        <v>42</v>
      </c>
      <c r="E9">
        <f>COUNTIFS('Cats - 2025'!$D:$D,"Senior",'Cats - 2025'!$E:$E,"&gt;=07/01/2025",'Cats - 2025'!$E:$E,"&lt;=7/31/2025")</f>
        <v>2</v>
      </c>
      <c r="F9" s="10">
        <f t="shared" si="0"/>
        <v>166</v>
      </c>
      <c r="H9" t="s">
        <v>344</v>
      </c>
      <c r="I9">
        <f>COUNTIFS('Cats - 2025'!$D:$D,"0-6 months",'Cats - 2025'!$E:$E,"&gt;=07/01/2025",'Cats - 2025'!$E:$E,"&lt;=7/31/2025",'Cats - 2025'!$J:$J,"Euthanized")</f>
        <v>92</v>
      </c>
      <c r="J9">
        <f>COUNTIFS('Cats - 2025'!$D:$D,"6-12 months",'Cats - 2025'!$E:$E,"&gt;=07/01/2025",'Cats - 2025'!$E:$E,"&lt;=7/31/2025",'Cats - 2025'!$J:$J,"Euthanized")</f>
        <v>2</v>
      </c>
      <c r="K9">
        <f>COUNTIFS('Cats - 2025'!$D:$D,"Adult",'Cats - 2025'!$E:$E,"&gt;=07/01/2025",'Cats - 2025'!$E:$E,"&lt;=7/31/2025",'Cats - 2025'!$J:$J,"Euthanized")</f>
        <v>35</v>
      </c>
      <c r="L9">
        <f>COUNTIFS('Cats - 2025'!$D:$D,"Senior",'Cats - 2025'!$E:$E,"&gt;=07/01/2025",'Cats - 2025'!$E:$E,"&lt;=7/31/2025",'Cats - 2025'!$J:$J,"Euthanized")</f>
        <v>2</v>
      </c>
      <c r="M9" s="10">
        <f t="shared" si="1"/>
        <v>131</v>
      </c>
      <c r="N9" s="21">
        <f t="shared" si="2"/>
        <v>0.78915662650602414</v>
      </c>
    </row>
    <row r="10" spans="1:14" x14ac:dyDescent="0.25">
      <c r="A10" t="s">
        <v>345</v>
      </c>
      <c r="B10">
        <f>COUNTIFS('Cats - 2025'!$D:$D,"0-6 months",'Cats - 2025'!$E:$E,"&gt;=08/01/2025",'Cats - 2025'!$E:$E,"&lt;=8/31/2025")</f>
        <v>0</v>
      </c>
      <c r="C10">
        <f>COUNTIFS('Cats - 2025'!$D:$D,"6-12 months",'Cats - 2025'!$E:$E,"&gt;=08/01/2025",'Cats - 2025'!$E:$E,"&lt;=8/31/2025")</f>
        <v>0</v>
      </c>
      <c r="D10">
        <f>COUNTIFS('Cats - 2025'!$D:$D,"Adult",'Cats - 2025'!$E:$E,"&gt;=08/01/2025",'Cats - 2025'!$E:$E,"&lt;=8/31/2025")</f>
        <v>0</v>
      </c>
      <c r="E10">
        <f>COUNTIFS('Cats - 2025'!$D:$D,"Senior",'Cats - 2025'!$E:$E,"&gt;=08/01/2025",'Cats - 2025'!$E:$E,"&lt;=8/31/2025")</f>
        <v>0</v>
      </c>
      <c r="F10" s="10">
        <f t="shared" si="0"/>
        <v>0</v>
      </c>
      <c r="H10" t="s">
        <v>345</v>
      </c>
      <c r="I10">
        <f>COUNTIFS('Cats - 2025'!$D:$D,"0-6 months",'Cats - 2025'!$E:$E,"&gt;=08/01/2025",'Cats - 2025'!$E:$E,"&lt;=8/31/2025",'Cats - 2025'!$J:$J,"Euthanized")</f>
        <v>0</v>
      </c>
      <c r="J10">
        <f>COUNTIFS('Cats - 2025'!$D:$D,"6-12 months",'Cats - 2025'!$E:$E,"&gt;=08/01/2025",'Cats - 2025'!$E:$E,"&lt;=8/31/2025",'Cats - 2025'!$J:$J,"Euthanized")</f>
        <v>0</v>
      </c>
      <c r="K10">
        <f>COUNTIFS('Cats - 2025'!$D:$D,"Adult",'Cats - 2025'!$E:$E,"&gt;=08/01/2025",'Cats - 2025'!$E:$E,"&lt;=8/31/2025",'Cats - 2025'!$J:$J,"Euthanized")</f>
        <v>0</v>
      </c>
      <c r="L10">
        <f>COUNTIFS('Cats - 2025'!$D:$D,"Senior",'Cats - 2025'!$E:$E,"&gt;=08/01/2025",'Cats - 2025'!$E:$E,"&lt;=8/31/2025",'Cats - 2025'!$J:$J,"Euthanized")</f>
        <v>0</v>
      </c>
      <c r="M10" s="10">
        <f t="shared" si="1"/>
        <v>0</v>
      </c>
      <c r="N10" s="21"/>
    </row>
    <row r="11" spans="1:14" x14ac:dyDescent="0.25">
      <c r="A11" t="s">
        <v>346</v>
      </c>
      <c r="B11">
        <f>COUNTIFS('Cats - 2025'!$D:$D,"0-6 months",'Cats - 2025'!$E:$E,"&gt;=09/01/2025",'Cats - 2025'!$E:$E,"&lt;=9/30/2025")</f>
        <v>0</v>
      </c>
      <c r="C11">
        <f>COUNTIFS('Cats - 2025'!$D:$D,"6-12 months",'Cats - 2025'!$E:$E,"&gt;=09/01/2025",'Cats - 2025'!$E:$E,"&lt;=9/30/2025")</f>
        <v>0</v>
      </c>
      <c r="D11">
        <f>COUNTIFS('Cats - 2025'!$D:$D,"Adult",'Cats - 2025'!$E:$E,"&gt;=09/01/2025",'Cats - 2025'!$E:$E,"&lt;=9/30/2025")</f>
        <v>0</v>
      </c>
      <c r="E11">
        <f>COUNTIFS('Cats - 2025'!$D:$D,"Senior",'Cats - 2025'!$E:$E,"&gt;=09/01/2025",'Cats - 2025'!$E:$E,"&lt;=9/30/2025")</f>
        <v>0</v>
      </c>
      <c r="F11" s="10">
        <f t="shared" si="0"/>
        <v>0</v>
      </c>
      <c r="H11" t="s">
        <v>346</v>
      </c>
      <c r="I11">
        <f>COUNTIFS('Cats - 2025'!$D:$D,"0-6 months",'Cats - 2025'!$E:$E,"&gt;=09/01/2025",'Cats - 2025'!$E:$E,"&lt;=9/30/2025",'Cats - 2025'!$J:$J,"Euthanized")</f>
        <v>0</v>
      </c>
      <c r="J11">
        <f>COUNTIFS('Cats - 2025'!$D:$D,"6-12 months",'Cats - 2025'!$E:$E,"&gt;=09/01/2025",'Cats - 2025'!$E:$E,"&lt;=9/30/2025",'Cats - 2025'!$J:$J,"Euthanized")</f>
        <v>0</v>
      </c>
      <c r="K11">
        <f>COUNTIFS('Cats - 2025'!$D:$D,"Adult",'Cats - 2025'!$E:$E,"&gt;=09/01/2025",'Cats - 2025'!$E:$E,"&lt;=9/30/2025",'Cats - 2025'!$J:$J,"Euthanized")</f>
        <v>0</v>
      </c>
      <c r="L11">
        <f>COUNTIFS('Cats - 2025'!$D:$D,"Senior",'Cats - 2025'!$E:$E,"&gt;=09/01/2025",'Cats - 2025'!$E:$E,"&lt;=9/30/2025",'Cats - 2025'!$J:$J,"Euthanized")</f>
        <v>0</v>
      </c>
      <c r="M11" s="10">
        <f t="shared" si="1"/>
        <v>0</v>
      </c>
      <c r="N11" s="21"/>
    </row>
    <row r="12" spans="1:14" x14ac:dyDescent="0.25">
      <c r="A12" t="s">
        <v>347</v>
      </c>
      <c r="B12">
        <f>COUNTIFS('Cats - 2025'!$D:$D,"0-6 months",'Cats - 2025'!$E:$E,"&gt;=10/01/2025",'Cats - 2025'!$E:$E,"&lt;=10/31/2025")</f>
        <v>0</v>
      </c>
      <c r="C12">
        <f>COUNTIFS('Cats - 2025'!$D:$D,"6-12 months",'Cats - 2025'!$E:$E,"&gt;=10/01/2025",'Cats - 2025'!$E:$E,"&lt;=10/31/2025")</f>
        <v>0</v>
      </c>
      <c r="D12">
        <f>COUNTIFS('Cats - 2025'!$D:$D,"Adult",'Cats - 2025'!$E:$E,"&gt;=10/01/2025",'Cats - 2025'!$E:$E,"&lt;=10/31/2025")</f>
        <v>0</v>
      </c>
      <c r="E12">
        <f>COUNTIFS('Cats - 2025'!$D:$D,"Senior",'Cats - 2025'!$E:$E,"&gt;=10/01/2025",'Cats - 2025'!$E:$E,"&lt;=10/31/2025")</f>
        <v>0</v>
      </c>
      <c r="F12" s="10">
        <f t="shared" si="0"/>
        <v>0</v>
      </c>
      <c r="H12" t="s">
        <v>347</v>
      </c>
      <c r="I12">
        <f>COUNTIFS('Cats - 2025'!$D:$D,"0-6 months",'Cats - 2025'!$E:$E,"&gt;=10/01/2025",'Cats - 2025'!$E:$E,"&lt;=10/31/2025",'Cats - 2025'!$J:$J,"Euthanized")</f>
        <v>0</v>
      </c>
      <c r="J12">
        <f>COUNTIFS('Cats - 2025'!$D:$D,"6-12 months",'Cats - 2025'!$E:$E,"&gt;=10/01/2025",'Cats - 2025'!$E:$E,"&lt;=10/31/2025",'Cats - 2025'!$J:$J,"Euthanized")</f>
        <v>0</v>
      </c>
      <c r="K12">
        <f>COUNTIFS('Cats - 2025'!$D:$D,"Adult",'Cats - 2025'!$E:$E,"&gt;=10/01/2025",'Cats - 2025'!$E:$E,"&lt;=10/31/2025",'Cats - 2025'!$J:$J,"Euthanized")</f>
        <v>0</v>
      </c>
      <c r="L12">
        <f>COUNTIFS('Cats - 2025'!$D:$D,"Senior",'Cats - 2025'!$E:$E,"&gt;=10/01/2025",'Cats - 2025'!$E:$E,"&lt;=10/31/2025",'Cats - 2025'!$J:$J,"Euthanized")</f>
        <v>0</v>
      </c>
      <c r="M12" s="10">
        <f t="shared" si="1"/>
        <v>0</v>
      </c>
      <c r="N12" s="21"/>
    </row>
    <row r="13" spans="1:14" x14ac:dyDescent="0.25">
      <c r="A13" t="s">
        <v>348</v>
      </c>
      <c r="B13">
        <f>COUNTIFS('Cats - 2025'!$D:$D,"0-6 months",'Cats - 2025'!$E:$E,"&gt;=11/01/2025",'Cats - 2025'!$E:$E,"&lt;=11/30/2025")</f>
        <v>0</v>
      </c>
      <c r="C13">
        <f>COUNTIFS('Cats - 2025'!$D:$D,"6-12 months",'Cats - 2025'!$E:$E,"&gt;=11/01/2025",'Cats - 2025'!$E:$E,"&lt;=11/30/2025")</f>
        <v>0</v>
      </c>
      <c r="D13">
        <f>COUNTIFS('Cats - 2025'!$D:$D,"Adult",'Cats - 2025'!$E:$E,"&gt;=11/01/2025",'Cats - 2025'!$E:$E,"&lt;=11/30/2025")</f>
        <v>0</v>
      </c>
      <c r="E13">
        <f>COUNTIFS('Cats - 2025'!$D:$D,"Senior",'Cats - 2025'!$E:$E,"&gt;=11/01/2025",'Cats - 2025'!$E:$E,"&lt;=11/30/2025")</f>
        <v>0</v>
      </c>
      <c r="F13" s="10">
        <f t="shared" si="0"/>
        <v>0</v>
      </c>
      <c r="H13" t="s">
        <v>348</v>
      </c>
      <c r="I13">
        <f>COUNTIFS('Cats - 2025'!$D:$D,"0-6 months",'Cats - 2025'!$E:$E,"&gt;=11/01/2025",'Cats - 2025'!$E:$E,"&lt;=11/30/2025",'Cats - 2025'!$J:$J,"Euthanized")</f>
        <v>0</v>
      </c>
      <c r="J13">
        <f>COUNTIFS('Cats - 2025'!$D:$D,"6-12 months",'Cats - 2025'!$E:$E,"&gt;=11/01/2025",'Cats - 2025'!$E:$E,"&lt;=11/30/2025",'Cats - 2025'!$J:$J,"Euthanized")</f>
        <v>0</v>
      </c>
      <c r="K13">
        <f>COUNTIFS('Cats - 2025'!$D:$D,"Adult",'Cats - 2025'!$E:$E,"&gt;=11/01/2025",'Cats - 2025'!$E:$E,"&lt;=11/30/2025",'Cats - 2025'!$J:$J,"Euthanized")</f>
        <v>0</v>
      </c>
      <c r="L13">
        <f>COUNTIFS('Cats - 2025'!$D:$D,"Senior",'Cats - 2025'!$E:$E,"&gt;=11/01/2025",'Cats - 2025'!$E:$E,"&lt;=11/30/2025",'Cats - 2025'!$J:$J,"Euthanized")</f>
        <v>0</v>
      </c>
      <c r="M13" s="10">
        <f t="shared" si="1"/>
        <v>0</v>
      </c>
      <c r="N13" s="21"/>
    </row>
    <row r="14" spans="1:14" x14ac:dyDescent="0.25">
      <c r="A14" t="s">
        <v>349</v>
      </c>
      <c r="B14">
        <f>COUNTIFS('Cats - 2025'!$D:$D,"0-6 months",'Cats - 2025'!$E:$E,"&gt;=12/01/2025",'Cats - 2025'!$E:$E,"&lt;=12/31/2025")</f>
        <v>0</v>
      </c>
      <c r="C14">
        <f>COUNTIFS('Cats - 2025'!$D:$D,"6-12 months",'Cats - 2025'!$E:$E,"&gt;=12/01/2025",'Cats - 2025'!$E:$E,"&lt;=12/31/2025")</f>
        <v>0</v>
      </c>
      <c r="D14">
        <f>COUNTIFS('Cats - 2025'!$D:$D,"Adult",'Cats - 2025'!$E:$E,"&gt;=12/01/2025",'Cats - 2025'!$E:$E,"&lt;=12/31/2025")</f>
        <v>0</v>
      </c>
      <c r="E14">
        <f>COUNTIFS('Cats - 2025'!$D:$D,"Senior",'Cats - 2025'!$E:$E,"&gt;=12/01/2025",'Cats - 2025'!$E:$E,"&lt;=12/31/2025")</f>
        <v>0</v>
      </c>
      <c r="F14" s="10">
        <f t="shared" si="0"/>
        <v>0</v>
      </c>
      <c r="H14" t="s">
        <v>349</v>
      </c>
      <c r="I14">
        <f>COUNTIFS('Cats - 2025'!$D:$D,"0-6 months",'Cats - 2025'!$E:$E,"&gt;=12/01/2025",'Cats - 2025'!$E:$E,"&lt;=12/31/2025",'Cats - 2025'!$J:$J,"Euthanized")</f>
        <v>0</v>
      </c>
      <c r="J14">
        <f>COUNTIFS('Cats - 2025'!$D:$D,"6-12 months",'Cats - 2025'!$E:$E,"&gt;=12/01/2025",'Cats - 2025'!$E:$E,"&lt;=12/31/2025",'Cats - 2025'!$J:$J,"Euthanized")</f>
        <v>0</v>
      </c>
      <c r="K14">
        <f>COUNTIFS('Cats - 2025'!$D:$D,"Adult",'Cats - 2025'!$E:$E,"&gt;=12/01/2025",'Cats - 2025'!$E:$E,"&lt;=12/31/2025",'Cats - 2025'!$J:$J,"Euthanized")</f>
        <v>0</v>
      </c>
      <c r="L14">
        <f>COUNTIFS('Cats - 2025'!$D:$D,"Senior",'Cats - 2025'!$E:$E,"&gt;=12/01/2025",'Cats - 2025'!$E:$E,"&lt;=12/31/2025",'Cats - 2025'!$J:$J,"Euthanized")</f>
        <v>0</v>
      </c>
      <c r="M14" s="10">
        <f t="shared" si="1"/>
        <v>0</v>
      </c>
      <c r="N14" s="21"/>
    </row>
    <row r="15" spans="1:14" x14ac:dyDescent="0.25">
      <c r="A15" s="13"/>
      <c r="B15" s="13">
        <f>SUM(B3:B14)</f>
        <v>474</v>
      </c>
      <c r="C15" s="13">
        <f t="shared" ref="C15:F15" si="3">SUM(C3:C14)</f>
        <v>45</v>
      </c>
      <c r="D15" s="13">
        <f t="shared" si="3"/>
        <v>316</v>
      </c>
      <c r="E15" s="13">
        <f t="shared" si="3"/>
        <v>15</v>
      </c>
      <c r="F15" s="13">
        <f t="shared" si="3"/>
        <v>850</v>
      </c>
      <c r="H15" s="13"/>
      <c r="I15" s="13">
        <f>SUM(I3:I14)</f>
        <v>329</v>
      </c>
      <c r="J15" s="13">
        <f t="shared" ref="J15:M15" si="4">SUM(J3:J14)</f>
        <v>29</v>
      </c>
      <c r="K15" s="13">
        <f t="shared" si="4"/>
        <v>227</v>
      </c>
      <c r="L15" s="13">
        <f t="shared" si="4"/>
        <v>14</v>
      </c>
      <c r="M15" s="13">
        <f t="shared" si="4"/>
        <v>599</v>
      </c>
      <c r="N15" s="13"/>
    </row>
    <row r="17" spans="1:13" ht="35.1" customHeight="1" x14ac:dyDescent="0.25">
      <c r="A17" s="35" t="s">
        <v>18</v>
      </c>
      <c r="B17" s="35"/>
      <c r="C17" s="35"/>
      <c r="D17" s="35"/>
      <c r="E17" s="35"/>
      <c r="F17" s="17">
        <f>F31/F15</f>
        <v>0.20117647058823529</v>
      </c>
      <c r="G17" s="19"/>
      <c r="H17" s="35" t="s">
        <v>11</v>
      </c>
      <c r="I17" s="35"/>
      <c r="J17" s="35"/>
      <c r="K17" s="35"/>
      <c r="L17" s="35"/>
      <c r="M17" s="17">
        <f>M31/$F$15</f>
        <v>4.7058823529411764E-2</v>
      </c>
    </row>
    <row r="18" spans="1:13" x14ac:dyDescent="0.25">
      <c r="A18" s="9"/>
      <c r="B18" s="14" t="s">
        <v>209</v>
      </c>
      <c r="C18" s="14" t="s">
        <v>210</v>
      </c>
      <c r="D18" s="14" t="s">
        <v>208</v>
      </c>
      <c r="E18" s="14" t="s">
        <v>211</v>
      </c>
      <c r="F18" s="15" t="s">
        <v>202</v>
      </c>
      <c r="H18" s="9"/>
      <c r="I18" s="14" t="s">
        <v>209</v>
      </c>
      <c r="J18" s="14" t="s">
        <v>210</v>
      </c>
      <c r="K18" s="14" t="s">
        <v>208</v>
      </c>
      <c r="L18" s="14" t="s">
        <v>211</v>
      </c>
      <c r="M18" s="15" t="s">
        <v>202</v>
      </c>
    </row>
    <row r="19" spans="1:13" x14ac:dyDescent="0.25">
      <c r="A19" t="s">
        <v>338</v>
      </c>
      <c r="B19">
        <f>COUNTIFS('Cats - 2025'!$D:$D,"0-6 months",'Cats - 2025'!$E:$E,"&gt;=01/01/2025",'Cats - 2025'!$E:$E,"&lt;=1/31/2025",'Cats - 2025'!$J:$J,"Transferred")</f>
        <v>5</v>
      </c>
      <c r="C19">
        <f>COUNTIFS('Cats - 2025'!$D:$D,"6-12 months",'Cats - 2025'!$E:$E,"&gt;=01/01/2025",'Cats - 2025'!$E:$E,"&lt;=1/31/2025",'Cats - 2025'!$J:$J,"Transferred")</f>
        <v>3</v>
      </c>
      <c r="D19">
        <f>COUNTIFS('Cats - 2025'!$D:$D,"Adult",'Cats - 2025'!$E:$E,"&gt;=01/01/2025",'Cats - 2025'!$E:$E,"&lt;=1/31/2025",'Cats - 2025'!$J:$J,"Transferred")</f>
        <v>10</v>
      </c>
      <c r="E19">
        <f>COUNTIFS('Cats - 2025'!$D:$D,"Senior",'Cats - 2025'!$E:$E,"&gt;=01/01/2025",'Cats - 2025'!$E:$E,"&lt;=1/31/2025",'Cats - 2025'!$J:$J,"Transferred")</f>
        <v>0</v>
      </c>
      <c r="F19" s="10">
        <f>SUM(B19:E19)</f>
        <v>18</v>
      </c>
      <c r="H19" t="s">
        <v>338</v>
      </c>
      <c r="I19">
        <f>COUNTIFS('Cats - 2025'!$D:$D,"0-6 months",'Cats - 2025'!$E:$E,"&gt;=01/01/2025",'Cats - 2025'!$E:$E,"&lt;=1/31/2025",'Cats - 2025'!$J:$J,"Adopted")</f>
        <v>3</v>
      </c>
      <c r="J19">
        <f>COUNTIFS('Cats - 2025'!$D:$D,"6-12 months",'Cats - 2025'!$E:$E,"&gt;=01/01/2025",'Cats - 2025'!$E:$E,"&lt;=1/31/2025",'Cats - 2025'!$J:$J,"Adopted")</f>
        <v>0</v>
      </c>
      <c r="K19">
        <f>COUNTIFS('Cats - 2025'!$D:$D,"Adult",'Cats - 2025'!$E:$E,"&gt;=01/01/2025",'Cats - 2025'!$E:$E,"&lt;=1/31/2025",'Cats - 2025'!$J:$J,"Adopted")</f>
        <v>1</v>
      </c>
      <c r="L19">
        <f>COUNTIFS('Cats - 2025'!$D:$D,"Senior",'Cats - 2025'!$E:$E,"&gt;=01/01/2025",'Cats - 2025'!$E:$E,"&lt;=1/31/2025",'Cats - 2025'!$J:$J,"Adopted")</f>
        <v>0</v>
      </c>
      <c r="M19" s="10">
        <f>SUM(I19:L19)</f>
        <v>4</v>
      </c>
    </row>
    <row r="20" spans="1:13" x14ac:dyDescent="0.25">
      <c r="A20" t="s">
        <v>339</v>
      </c>
      <c r="B20">
        <f>COUNTIFS('Cats - 2025'!$D:$D,"0-6 months",'Cats - 2025'!$E:$E,"&gt;=02/01/2025",'Cats - 2025'!$E:$E,"&lt;=2/28/2025",'Cats - 2025'!$J:$J,"Transferred")</f>
        <v>6</v>
      </c>
      <c r="C20">
        <f>COUNTIFS('Cats - 2025'!$D:$D,"6-12 months",'Cats - 2025'!$E:$E,"&gt;=02/01/2025",'Cats - 2025'!$E:$E,"&lt;=2/28/2025",'Cats - 2025'!$J:$J,"Transferred")</f>
        <v>4</v>
      </c>
      <c r="D20">
        <f>COUNTIFS('Cats - 2025'!$D:$D,"Adult",'Cats - 2025'!$E:$E,"&gt;=02/01/2025",'Cats - 2025'!$E:$E,"&lt;=2/28/2025",'Cats - 2025'!$J:$J,"Transferred")</f>
        <v>8</v>
      </c>
      <c r="E20">
        <f>COUNTIFS('Cats - 2025'!$D:$D,"Senior",'Cats - 2025'!$E:$E,"&gt;=02/01/2025",'Cats - 2025'!$E:$E,"&lt;=2/28/2025",'Cats - 2025'!$J:$J,"Transferred")</f>
        <v>0</v>
      </c>
      <c r="F20" s="10">
        <f t="shared" ref="F20:F30" si="5">SUM(B20:E20)</f>
        <v>18</v>
      </c>
      <c r="H20" t="s">
        <v>339</v>
      </c>
      <c r="I20">
        <f>COUNTIFS('Cats - 2025'!$D:$D,"0-6 months",'Cats - 2025'!$E:$E,"&gt;=02/01/2025",'Cats - 2025'!$E:$E,"&lt;=2/28/2025",'Cats - 2025'!$J:$J,"Adopted")</f>
        <v>3</v>
      </c>
      <c r="J20">
        <f>COUNTIFS('Cats - 2025'!$D:$D,"6-12 months",'Cats - 2025'!$E:$E,"&gt;=02/01/2025",'Cats - 2025'!$E:$E,"&lt;=2/28/2025",'Cats - 2025'!$J:$J,"Adopted")</f>
        <v>1</v>
      </c>
      <c r="K20">
        <f>COUNTIFS('Cats - 2025'!$D:$D,"Adult",'Cats - 2025'!$E:$E,"&gt;=02/01/2025",'Cats - 2025'!$E:$E,"&lt;=2/28/2025",'Cats - 2025'!$J:$J,"Adopted")</f>
        <v>1</v>
      </c>
      <c r="L20">
        <f>COUNTIFS('Cats - 2025'!$D:$D,"Senior",'Cats - 2025'!$E:$E,"&gt;=02/01/2025",'Cats - 2025'!$E:$E,"&lt;=2/28/2025",'Cats - 2025'!$J:$J,"Adopted")</f>
        <v>0</v>
      </c>
      <c r="M20" s="10">
        <f t="shared" ref="M20:M30" si="6">SUM(I20:L20)</f>
        <v>5</v>
      </c>
    </row>
    <row r="21" spans="1:13" x14ac:dyDescent="0.25">
      <c r="A21" t="s">
        <v>340</v>
      </c>
      <c r="B21">
        <f>COUNTIFS('Cats - 2025'!$D:$D,"0-6 months",'Cats - 2025'!$E:$E,"&gt;=03/01/2025",'Cats - 2025'!$E:$E,"&lt;=3/31/2025",'Cats - 2025'!$J:$J,"Transferred")</f>
        <v>9</v>
      </c>
      <c r="C21">
        <f>COUNTIFS('Cats - 2025'!$D:$D,"6-12 months",'Cats - 2025'!$E:$E,"&gt;=03/01/2025",'Cats - 2025'!$E:$E,"&lt;=3/31/2025",'Cats - 2025'!$J:$J,"Transferred")</f>
        <v>5</v>
      </c>
      <c r="D21">
        <f>COUNTIFS('Cats - 2025'!$D:$D,"Adult",'Cats - 2025'!$E:$E,"&gt;=03/01/2025",'Cats - 2025'!$E:$E,"&lt;=3/31/2025",'Cats - 2025'!$J:$J,"Transferred")</f>
        <v>18</v>
      </c>
      <c r="E21">
        <f>COUNTIFS('Cats - 2025'!$D:$D,"Senior",'Cats - 2025'!$E:$E,"&gt;=03/01/2025",'Cats - 2025'!$E:$E,"&lt;=3/31/2025",'Cats - 2025'!$J:$J,"Transferred")</f>
        <v>0</v>
      </c>
      <c r="F21" s="10">
        <f t="shared" si="5"/>
        <v>32</v>
      </c>
      <c r="H21" t="s">
        <v>340</v>
      </c>
      <c r="I21">
        <f>COUNTIFS('Cats - 2025'!$D:$D,"0-6 months",'Cats - 2025'!$E:$E,"&gt;=03/01/2025",'Cats - 2025'!$E:$E,"&lt;=3/31/2025",'Cats - 2025'!$J:$J,"Adopted")</f>
        <v>3</v>
      </c>
      <c r="J21">
        <f>COUNTIFS('Cats - 2025'!$D:$D,"6-12 months",'Cats - 2025'!$E:$E,"&gt;=03/01/2025",'Cats - 2025'!$E:$E,"&lt;=3/31/2025",'Cats - 2025'!$J:$J,"Adopted")</f>
        <v>0</v>
      </c>
      <c r="K21">
        <f>COUNTIFS('Cats - 2025'!$D:$D,"Adult",'Cats - 2025'!$E:$E,"&gt;=03/01/2025",'Cats - 2025'!$E:$E,"&lt;=3/31/2025",'Cats - 2025'!$J:$J,"Adopted")</f>
        <v>2</v>
      </c>
      <c r="L21">
        <f>COUNTIFS('Cats - 2025'!$D:$D,"Senior",'Cats - 2025'!$E:$E,"&gt;=03/01/2025",'Cats - 2025'!$E:$E,"&lt;=3/31/2025",'Cats - 2025'!$J:$J,"Adopted")</f>
        <v>0</v>
      </c>
      <c r="M21" s="10">
        <f t="shared" si="6"/>
        <v>5</v>
      </c>
    </row>
    <row r="22" spans="1:13" x14ac:dyDescent="0.25">
      <c r="A22" t="s">
        <v>341</v>
      </c>
      <c r="B22">
        <f>COUNTIFS('Cats - 2025'!$D:$D,"0-6 months",'Cats - 2025'!$E:$E,"&gt;=04/01/2025",'Cats - 2025'!$E:$E,"&lt;=4/30/2025",'Cats - 2025'!$J:$J,"Transferred")</f>
        <v>15</v>
      </c>
      <c r="C22">
        <f>COUNTIFS('Cats - 2025'!$D:$D,"6-12 months",'Cats - 2025'!$E:$E,"&gt;=04/01/2025",'Cats - 2025'!$E:$E,"&lt;=4/30/2025",'Cats - 2025'!$J:$J,"Transferred")</f>
        <v>0</v>
      </c>
      <c r="D22">
        <f>COUNTIFS('Cats - 2025'!$D:$D,"Adult",'Cats - 2025'!$E:$E,"&gt;=04/01/2025",'Cats - 2025'!$E:$E,"&lt;=4/30/2025",'Cats - 2025'!$J:$J,"Transferred")</f>
        <v>8</v>
      </c>
      <c r="E22">
        <f>COUNTIFS('Cats - 2025'!$D:$D,"Senior",'Cats - 2025'!$E:$E,"&gt;=04/01/2025",'Cats - 2025'!$E:$E,"&lt;=4/30/2025",'Cats - 2025'!$J:$J,"Transferred")</f>
        <v>0</v>
      </c>
      <c r="F22" s="10">
        <f t="shared" si="5"/>
        <v>23</v>
      </c>
      <c r="H22" t="s">
        <v>341</v>
      </c>
      <c r="I22">
        <f>COUNTIFS('Cats - 2025'!$D:$D,"0-6 months",'Cats - 2025'!$E:$E,"&gt;=04/01/2025",'Cats - 2025'!$E:$E,"&lt;=4/30/2025",'Cats - 2025'!$J:$J,"Adopted")</f>
        <v>3</v>
      </c>
      <c r="J22">
        <f>COUNTIFS('Cats - 2025'!$D:$D,"6-12 months",'Cats - 2025'!$E:$E,"&gt;=04/01/2025",'Cats - 2025'!$E:$E,"&lt;=4/30/2025",'Cats - 2025'!$J:$J,"Adopted")</f>
        <v>0</v>
      </c>
      <c r="K22">
        <f>COUNTIFS('Cats - 2025'!$D:$D,"Adult",'Cats - 2025'!$E:$E,"&gt;=04/01/2025",'Cats - 2025'!$E:$E,"&lt;=4/30/2025",'Cats - 2025'!$J:$J,"Adopted")</f>
        <v>2</v>
      </c>
      <c r="L22">
        <f>COUNTIFS('Cats - 2025'!$D:$D,"Senior",'Cats - 2025'!$E:$E,"&gt;=04/01/2025",'Cats - 2025'!$E:$E,"&lt;=4/30/2025",'Cats - 2025'!$J:$J,"Adopted")</f>
        <v>0</v>
      </c>
      <c r="M22" s="10">
        <f t="shared" si="6"/>
        <v>5</v>
      </c>
    </row>
    <row r="23" spans="1:13" x14ac:dyDescent="0.25">
      <c r="A23" t="s">
        <v>342</v>
      </c>
      <c r="B23">
        <f>COUNTIFS('Cats - 2025'!$D:$D,"0-6 months",'Cats - 2025'!$E:$E,"&gt;=05/01/2025",'Cats - 2025'!$E:$E,"&lt;=5/31/2025",'Cats - 2025'!$J:$J,"Transferred")</f>
        <v>35</v>
      </c>
      <c r="C23">
        <f>COUNTIFS('Cats - 2025'!$D:$D,"6-12 months",'Cats - 2025'!$E:$E,"&gt;=05/01/2025",'Cats - 2025'!$E:$E,"&lt;=5/31/2025",'Cats - 2025'!$J:$J,"Transferred")</f>
        <v>1</v>
      </c>
      <c r="D23">
        <f>COUNTIFS('Cats - 2025'!$D:$D,"Adult",'Cats - 2025'!$E:$E,"&gt;=05/01/2025",'Cats - 2025'!$E:$E,"&lt;=5/31/2025",'Cats - 2025'!$J:$J,"Transferred")</f>
        <v>11</v>
      </c>
      <c r="E23">
        <f>COUNTIFS('Cats - 2025'!$D:$D,"Senior",'Cats - 2025'!$E:$E,"&gt;=05/01/2025",'Cats - 2025'!$E:$E,"&lt;=5/31/2025",'Cats - 2025'!$J:$J,"Transferred")</f>
        <v>0</v>
      </c>
      <c r="F23" s="10">
        <f t="shared" si="5"/>
        <v>47</v>
      </c>
      <c r="H23" t="s">
        <v>342</v>
      </c>
      <c r="I23">
        <f>COUNTIFS('Cats - 2025'!$D:$D,"0-6 months",'Cats - 2025'!$E:$E,"&gt;=05/01/2025",'Cats - 2025'!$E:$E,"&lt;=5/31/2025",'Cats - 2025'!$J:$J,"Adopted")</f>
        <v>5</v>
      </c>
      <c r="J23">
        <f>COUNTIFS('Cats - 2025'!$D:$D,"6-12 months",'Cats - 2025'!$E:$E,"&gt;=05/01/2025",'Cats - 2025'!$E:$E,"&lt;=5/31/2025",'Cats - 2025'!$J:$J,"Adopted")</f>
        <v>1</v>
      </c>
      <c r="K23">
        <f>COUNTIFS('Cats - 2025'!$D:$D,"Adult",'Cats - 2025'!$E:$E,"&gt;=05/01/2025",'Cats - 2025'!$E:$E,"&lt;=5/31/2025",'Cats - 2025'!$J:$J,"Adopted")</f>
        <v>5</v>
      </c>
      <c r="L23">
        <f>COUNTIFS('Cats - 2025'!$D:$D,"Senior",'Cats - 2025'!$E:$E,"&gt;=05/01/2025",'Cats - 2025'!$E:$E,"&lt;=5/31/2025",'Cats - 2025'!$J:$J,"Adopted")</f>
        <v>0</v>
      </c>
      <c r="M23" s="10">
        <f t="shared" si="6"/>
        <v>11</v>
      </c>
    </row>
    <row r="24" spans="1:13" x14ac:dyDescent="0.25">
      <c r="A24" t="s">
        <v>343</v>
      </c>
      <c r="B24">
        <f>COUNTIFS('Cats - 2025'!$D:$D,"0-6 months",'Cats - 2025'!$E:$E,"&gt;=06/01/2025",'Cats - 2025'!$E:$E,"&lt;=6/30/2025",'Cats - 2025'!$J:$J,"Transferred")</f>
        <v>11</v>
      </c>
      <c r="C24">
        <f>COUNTIFS('Cats - 2025'!$D:$D,"6-12 months",'Cats - 2025'!$E:$E,"&gt;=06/01/2025",'Cats - 2025'!$E:$E,"&lt;=6/30/2025",'Cats - 2025'!$J:$J,"Transferred")</f>
        <v>1</v>
      </c>
      <c r="D24">
        <f>COUNTIFS('Cats - 2025'!$D:$D,"Adult",'Cats - 2025'!$E:$E,"&gt;=06/01/2025",'Cats - 2025'!$E:$E,"&lt;=6/30/2025",'Cats - 2025'!$J:$J,"Transferred")</f>
        <v>2</v>
      </c>
      <c r="E24">
        <f>COUNTIFS('Cats - 2025'!$D:$D,"Senior",'Cats - 2025'!$E:$E,"&gt;=06/01/2025",'Cats - 2025'!$E:$E,"&lt;=6/30/2025",'Cats - 2025'!$J:$J,"Transferred")</f>
        <v>0</v>
      </c>
      <c r="F24" s="10">
        <f t="shared" si="5"/>
        <v>14</v>
      </c>
      <c r="H24" t="s">
        <v>343</v>
      </c>
      <c r="I24">
        <f>COUNTIFS('Cats - 2025'!$D:$D,"0-6 months",'Cats - 2025'!$E:$E,"&gt;=06/01/2025",'Cats - 2025'!$E:$E,"&lt;=6/30/2025",'Cats - 2025'!$J:$J,"Adopted")</f>
        <v>5</v>
      </c>
      <c r="J24">
        <f>COUNTIFS('Cats - 2025'!$D:$D,"6-12 months",'Cats - 2025'!$E:$E,"&gt;=06/01/2025",'Cats - 2025'!$E:$E,"&lt;=6/30/2025",'Cats - 2025'!$J:$J,"Adopted")</f>
        <v>0</v>
      </c>
      <c r="K24">
        <f>COUNTIFS('Cats - 2025'!$D:$D,"Adult",'Cats - 2025'!$E:$E,"&gt;=06/01/2025",'Cats - 2025'!$E:$E,"&lt;=6/30/2025",'Cats - 2025'!$J:$J,"Adopted")</f>
        <v>2</v>
      </c>
      <c r="L24">
        <f>COUNTIFS('Cats - 2025'!$D:$D,"Senior",'Cats - 2025'!$E:$E,"&gt;=06/01/2025",'Cats - 2025'!$E:$E,"&lt;=6/30/2025",'Cats - 2025'!$J:$J,"Adopted")</f>
        <v>0</v>
      </c>
      <c r="M24" s="10">
        <f t="shared" si="6"/>
        <v>7</v>
      </c>
    </row>
    <row r="25" spans="1:13" x14ac:dyDescent="0.25">
      <c r="A25" t="s">
        <v>344</v>
      </c>
      <c r="B25">
        <f>COUNTIFS('Cats - 2025'!$D:$D,"0-6 months",'Cats - 2025'!$E:$E,"&gt;=07/01/2025",'Cats - 2025'!$E:$E,"&lt;=7/31/2025",'Cats - 2025'!$J:$J,"Transferred")</f>
        <v>18</v>
      </c>
      <c r="C25">
        <f>COUNTIFS('Cats - 2025'!$D:$D,"6-12 months",'Cats - 2025'!$E:$E,"&gt;=07/01/2025",'Cats - 2025'!$E:$E,"&lt;=7/31/2025",'Cats - 2025'!$J:$J,"Transferred")</f>
        <v>0</v>
      </c>
      <c r="D25">
        <f>COUNTIFS('Cats - 2025'!$D:$D,"Adult",'Cats - 2025'!$E:$E,"&gt;=07/01/2025",'Cats - 2025'!$E:$E,"&lt;=7/31/2025",'Cats - 2025'!$J:$J,"Transferred")</f>
        <v>1</v>
      </c>
      <c r="E25">
        <f>COUNTIFS('Cats - 2025'!$D:$D,"Senior",'Cats - 2025'!$E:$E,"&gt;=07/01/2025",'Cats - 2025'!$E:$E,"&lt;=7/31/2025",'Cats - 2025'!$J:$J,"Transferred")</f>
        <v>0</v>
      </c>
      <c r="F25" s="10">
        <f t="shared" si="5"/>
        <v>19</v>
      </c>
      <c r="H25" t="s">
        <v>344</v>
      </c>
      <c r="I25">
        <f>COUNTIFS('Cats - 2025'!$D:$D,"0-6 months",'Cats - 2025'!$E:$E,"&gt;=07/01/2025",'Cats - 2025'!$E:$E,"&lt;=7/31/2025",'Cats - 2025'!$J:$J,"Adopted")</f>
        <v>2</v>
      </c>
      <c r="J25">
        <f>COUNTIFS('Cats - 2025'!$D:$D,"6-12 months",'Cats - 2025'!$E:$E,"&gt;=07/01/2025",'Cats - 2025'!$E:$E,"&lt;=7/31/2025",'Cats - 2025'!$J:$J,"Adopted")</f>
        <v>0</v>
      </c>
      <c r="K25">
        <f>COUNTIFS('Cats - 2025'!$D:$D,"Adult",'Cats - 2025'!$E:$E,"&gt;=07/01/2025",'Cats - 2025'!$E:$E,"&lt;=7/31/2025",'Cats - 2025'!$J:$J,"Adopted")</f>
        <v>1</v>
      </c>
      <c r="L25">
        <f>COUNTIFS('Cats - 2025'!$D:$D,"Senior",'Cats - 2025'!$E:$E,"&gt;=07/01/2025",'Cats - 2025'!$E:$E,"&lt;=7/31/2025",'Cats - 2025'!$J:$J,"Adopted")</f>
        <v>0</v>
      </c>
      <c r="M25" s="10">
        <f t="shared" si="6"/>
        <v>3</v>
      </c>
    </row>
    <row r="26" spans="1:13" x14ac:dyDescent="0.25">
      <c r="A26" t="s">
        <v>345</v>
      </c>
      <c r="B26">
        <f>COUNTIFS('Cats - 2025'!$D:$D,"0-6 months",'Cats - 2025'!$E:$E,"&gt;=08/01/2025",'Cats - 2025'!$E:$E,"&lt;=8/31/2025",'Cats - 2025'!$J:$J,"Transferred")</f>
        <v>0</v>
      </c>
      <c r="C26">
        <f>COUNTIFS('Cats - 2025'!$D:$D,"6-12 months",'Cats - 2025'!$E:$E,"&gt;=08/01/2025",'Cats - 2025'!$E:$E,"&lt;=8/31/2025",'Cats - 2025'!$J:$J,"Transferred")</f>
        <v>0</v>
      </c>
      <c r="D26">
        <f>COUNTIFS('Cats - 2025'!$D:$D,"Adult",'Cats - 2025'!$E:$E,"&gt;=08/01/2025",'Cats - 2025'!$E:$E,"&lt;=8/31/2025",'Cats - 2025'!$J:$J,"Transferred")</f>
        <v>0</v>
      </c>
      <c r="E26">
        <f>COUNTIFS('Cats - 2025'!$D:$D,"Senior",'Cats - 2025'!$E:$E,"&gt;=08/01/2025",'Cats - 2025'!$E:$E,"&lt;=8/31/2025",'Cats - 2025'!$J:$J,"Transferred")</f>
        <v>0</v>
      </c>
      <c r="F26" s="10">
        <f t="shared" si="5"/>
        <v>0</v>
      </c>
      <c r="H26" t="s">
        <v>345</v>
      </c>
      <c r="I26">
        <f>COUNTIFS('Cats - 2025'!$D:$D,"0-6 months",'Cats - 2025'!$E:$E,"&gt;=08/01/2025",'Cats - 2025'!$E:$E,"&lt;=8/31/2025",'Cats - 2025'!$J:$J,"Adopted")</f>
        <v>0</v>
      </c>
      <c r="J26">
        <f>COUNTIFS('Cats - 2025'!$D:$D,"6-12 months",'Cats - 2025'!$E:$E,"&gt;=08/01/2025",'Cats - 2025'!$E:$E,"&lt;=8/31/2025",'Cats - 2025'!$J:$J,"Adopted")</f>
        <v>0</v>
      </c>
      <c r="K26">
        <f>COUNTIFS('Cats - 2025'!$D:$D,"Adult",'Cats - 2025'!$E:$E,"&gt;=08/01/2025",'Cats - 2025'!$E:$E,"&lt;=8/31/2025",'Cats - 2025'!$J:$J,"Adopted")</f>
        <v>0</v>
      </c>
      <c r="L26">
        <f>COUNTIFS('Cats - 2025'!$D:$D,"Senior",'Cats - 2025'!$E:$E,"&gt;=08/01/2025",'Cats - 2025'!$E:$E,"&lt;=8/31/2025",'Cats - 2025'!$J:$J,"Adopted")</f>
        <v>0</v>
      </c>
      <c r="M26" s="10">
        <f t="shared" si="6"/>
        <v>0</v>
      </c>
    </row>
    <row r="27" spans="1:13" x14ac:dyDescent="0.25">
      <c r="A27" t="s">
        <v>346</v>
      </c>
      <c r="B27">
        <f>COUNTIFS('Cats - 2025'!$D:$D,"0-6 months",'Cats - 2025'!$E:$E,"&gt;=09/01/2025",'Cats - 2025'!$E:$E,"&lt;=9/30/2025",'Cats - 2025'!$J:$J,"Transferred")</f>
        <v>0</v>
      </c>
      <c r="C27">
        <f>COUNTIFS('Cats - 2025'!$D:$D,"6-12 months",'Cats - 2025'!$E:$E,"&gt;=09/01/2025",'Cats - 2025'!$E:$E,"&lt;=9/30/2025",'Cats - 2025'!$J:$J,"Transferred")</f>
        <v>0</v>
      </c>
      <c r="D27">
        <f>COUNTIFS('Cats - 2025'!$D:$D,"Adult",'Cats - 2025'!$E:$E,"&gt;=09/01/2025",'Cats - 2025'!$E:$E,"&lt;=9/30/2025",'Cats - 2025'!$J:$J,"Transferred")</f>
        <v>0</v>
      </c>
      <c r="E27">
        <f>COUNTIFS('Cats - 2025'!$D:$D,"Senior",'Cats - 2025'!$E:$E,"&gt;=09/01/2025",'Cats - 2025'!$E:$E,"&lt;=9/30/2025",'Cats - 2025'!$J:$J,"Transferred")</f>
        <v>0</v>
      </c>
      <c r="F27" s="10">
        <f t="shared" si="5"/>
        <v>0</v>
      </c>
      <c r="H27" t="s">
        <v>346</v>
      </c>
      <c r="I27">
        <f>COUNTIFS('Cats - 2025'!$D:$D,"0-6 months",'Cats - 2025'!$E:$E,"&gt;=09/01/2025",'Cats - 2025'!$E:$E,"&lt;=9/30/2025",'Cats - 2025'!$J:$J,"Adopted")</f>
        <v>0</v>
      </c>
      <c r="J27">
        <f>COUNTIFS('Cats - 2025'!$D:$D,"6-12 months",'Cats - 2025'!$E:$E,"&gt;=09/01/2025",'Cats - 2025'!$E:$E,"&lt;=9/30/2025",'Cats - 2025'!$J:$J,"Adopted")</f>
        <v>0</v>
      </c>
      <c r="K27">
        <f>COUNTIFS('Cats - 2025'!$D:$D,"Adult",'Cats - 2025'!$E:$E,"&gt;=09/01/2025",'Cats - 2025'!$E:$E,"&lt;=9/30/2025",'Cats - 2025'!$J:$J,"Adopted")</f>
        <v>0</v>
      </c>
      <c r="L27">
        <f>COUNTIFS('Cats - 2025'!$D:$D,"Senior",'Cats - 2025'!$E:$E,"&gt;=09/01/2025",'Cats - 2025'!$E:$E,"&lt;=9/30/2025",'Cats - 2025'!$J:$J,"Adopted")</f>
        <v>0</v>
      </c>
      <c r="M27" s="10">
        <f t="shared" si="6"/>
        <v>0</v>
      </c>
    </row>
    <row r="28" spans="1:13" x14ac:dyDescent="0.25">
      <c r="A28" t="s">
        <v>347</v>
      </c>
      <c r="B28">
        <f>COUNTIFS('Cats - 2025'!$D:$D,"0-6 months",'Cats - 2025'!$E:$E,"&gt;=10/01/2025",'Cats - 2025'!$E:$E,"&lt;=10/31/2025",'Cats - 2025'!$J:$J,"Transferred")</f>
        <v>0</v>
      </c>
      <c r="C28">
        <f>COUNTIFS('Cats - 2025'!$D:$D,"6-12 months",'Cats - 2025'!$E:$E,"&gt;=10/01/2025",'Cats - 2025'!$E:$E,"&lt;=10/31/2025",'Cats - 2025'!$J:$J,"Transferred")</f>
        <v>0</v>
      </c>
      <c r="D28">
        <f>COUNTIFS('Cats - 2025'!$D:$D,"Adult",'Cats - 2025'!$E:$E,"&gt;=10/01/2025",'Cats - 2025'!$E:$E,"&lt;=10/31/2025",'Cats - 2025'!$J:$J,"Transferred")</f>
        <v>0</v>
      </c>
      <c r="E28">
        <f>COUNTIFS('Cats - 2025'!$D:$D,"Senior",'Cats - 2025'!$E:$E,"&gt;=10/01/2025",'Cats - 2025'!$E:$E,"&lt;=10/31/2025",'Cats - 2025'!$J:$J,"Transferred")</f>
        <v>0</v>
      </c>
      <c r="F28" s="10">
        <f t="shared" si="5"/>
        <v>0</v>
      </c>
      <c r="H28" t="s">
        <v>347</v>
      </c>
      <c r="I28">
        <f>COUNTIFS('Cats - 2025'!$D:$D,"0-6 months",'Cats - 2025'!$E:$E,"&gt;=10/01/2025",'Cats - 2025'!$E:$E,"&lt;=10/31/2025",'Cats - 2025'!$J:$J,"Adopted")</f>
        <v>0</v>
      </c>
      <c r="J28">
        <f>COUNTIFS('Cats - 2025'!$D:$D,"6-12 months",'Cats - 2025'!$E:$E,"&gt;=10/01/2025",'Cats - 2025'!$E:$E,"&lt;=10/31/2025",'Cats - 2025'!$J:$J,"Adopted")</f>
        <v>0</v>
      </c>
      <c r="K28">
        <f>COUNTIFS('Cats - 2025'!$D:$D,"Adult",'Cats - 2025'!$E:$E,"&gt;=10/01/2025",'Cats - 2025'!$E:$E,"&lt;=10/31/2025",'Cats - 2025'!$J:$J,"Adopted")</f>
        <v>0</v>
      </c>
      <c r="L28">
        <f>COUNTIFS('Cats - 2025'!$D:$D,"Senior",'Cats - 2025'!$E:$E,"&gt;=10/01/2025",'Cats - 2025'!$E:$E,"&lt;=10/31/2025",'Cats - 2025'!$J:$J,"Adopted")</f>
        <v>0</v>
      </c>
      <c r="M28" s="10">
        <f t="shared" si="6"/>
        <v>0</v>
      </c>
    </row>
    <row r="29" spans="1:13" x14ac:dyDescent="0.25">
      <c r="A29" t="s">
        <v>348</v>
      </c>
      <c r="B29">
        <f>COUNTIFS('Cats - 2025'!$D:$D,"0-6 months",'Cats - 2025'!$E:$E,"&gt;=11/01/2025",'Cats - 2025'!$E:$E,"&lt;=11/30/2025",'Cats - 2025'!$J:$J,"Transferred")</f>
        <v>0</v>
      </c>
      <c r="C29">
        <f>COUNTIFS('Cats - 2025'!$D:$D,"6-12 months",'Cats - 2025'!$E:$E,"&gt;=11/01/2025",'Cats - 2025'!$E:$E,"&lt;=11/30/2025",'Cats - 2025'!$J:$J,"Transferred")</f>
        <v>0</v>
      </c>
      <c r="D29">
        <f>COUNTIFS('Cats - 2025'!$D:$D,"Adult",'Cats - 2025'!$E:$E,"&gt;=11/01/2025",'Cats - 2025'!$E:$E,"&lt;=11/30/2025",'Cats - 2025'!$J:$J,"Transferred")</f>
        <v>0</v>
      </c>
      <c r="E29">
        <f>COUNTIFS('Cats - 2025'!$D:$D,"Senior",'Cats - 2025'!$E:$E,"&gt;=11/01/2025",'Cats - 2025'!$E:$E,"&lt;=11/30/2025",'Cats - 2025'!$J:$J,"Transferred")</f>
        <v>0</v>
      </c>
      <c r="F29" s="10">
        <f t="shared" si="5"/>
        <v>0</v>
      </c>
      <c r="H29" t="s">
        <v>348</v>
      </c>
      <c r="I29">
        <f>COUNTIFS('Cats - 2025'!$D:$D,"0-6 months",'Cats - 2025'!$E:$E,"&gt;=11/01/2025",'Cats - 2025'!$E:$E,"&lt;=11/30/2025",'Cats - 2025'!$J:$J,"Adopted")</f>
        <v>0</v>
      </c>
      <c r="J29">
        <f>COUNTIFS('Cats - 2025'!$D:$D,"6-12 months",'Cats - 2025'!$E:$E,"&gt;=11/01/2025",'Cats - 2025'!$E:$E,"&lt;=11/30/2025",'Cats - 2025'!$J:$J,"Adopted")</f>
        <v>0</v>
      </c>
      <c r="K29">
        <f>COUNTIFS('Cats - 2025'!$D:$D,"Adult",'Cats - 2025'!$E:$E,"&gt;=11/01/2025",'Cats - 2025'!$E:$E,"&lt;=11/30/2025",'Cats - 2025'!$J:$J,"Adopted")</f>
        <v>0</v>
      </c>
      <c r="L29">
        <f>COUNTIFS('Cats - 2025'!$D:$D,"Senior",'Cats - 2025'!$E:$E,"&gt;=11/01/2025",'Cats - 2025'!$E:$E,"&lt;=11/30/2025",'Cats - 2025'!$J:$J,"Adopted")</f>
        <v>0</v>
      </c>
      <c r="M29" s="10">
        <f t="shared" si="6"/>
        <v>0</v>
      </c>
    </row>
    <row r="30" spans="1:13" x14ac:dyDescent="0.25">
      <c r="A30" t="s">
        <v>349</v>
      </c>
      <c r="B30">
        <f>COUNTIFS('Cats - 2025'!$D:$D,"0-6 months",'Cats - 2025'!$E:$E,"&gt;=12/01/2025",'Cats - 2025'!$E:$E,"&lt;=12/31/2025",'Cats - 2025'!$J:$J,"Transferred")</f>
        <v>0</v>
      </c>
      <c r="C30">
        <f>COUNTIFS('Cats - 2025'!$D:$D,"6-12 months",'Cats - 2025'!$E:$E,"&gt;=12/01/2025",'Cats - 2025'!$E:$E,"&lt;=12/31/2025",'Cats - 2025'!$J:$J,"Transferred")</f>
        <v>0</v>
      </c>
      <c r="D30">
        <f>COUNTIFS('Cats - 2025'!$D:$D,"Adult",'Cats - 2025'!$E:$E,"&gt;=12/01/2025",'Cats - 2025'!$E:$E,"&lt;=12/31/2025",'Cats - 2025'!$J:$J,"Transferred")</f>
        <v>0</v>
      </c>
      <c r="E30">
        <f>COUNTIFS('Cats - 2025'!$D:$D,"Senior",'Cats - 2025'!$E:$E,"&gt;=12/01/2025",'Cats - 2025'!$E:$E,"&lt;=12/31/2025",'Cats - 2025'!$J:$J,"Transferred")</f>
        <v>0</v>
      </c>
      <c r="F30" s="10">
        <f t="shared" si="5"/>
        <v>0</v>
      </c>
      <c r="H30" t="s">
        <v>349</v>
      </c>
      <c r="I30">
        <f>COUNTIFS('Cats - 2025'!$D:$D,"0-6 months",'Cats - 2025'!$E:$E,"&gt;=12/01/2025",'Cats - 2025'!$E:$E,"&lt;=12/31/2025",'Cats - 2025'!$J:$J,"Adopted")</f>
        <v>0</v>
      </c>
      <c r="J30">
        <f>COUNTIFS('Cats - 2025'!$D:$D,"6-12 months",'Cats - 2025'!$E:$E,"&gt;=12/01/2025",'Cats - 2025'!$E:$E,"&lt;=12/31/2025",'Cats - 2025'!$J:$J,"Adopted")</f>
        <v>0</v>
      </c>
      <c r="K30">
        <f>COUNTIFS('Cats - 2025'!$D:$D,"Adult",'Cats - 2025'!$E:$E,"&gt;=12/01/2025",'Cats - 2025'!$E:$E,"&lt;=12/31/2025",'Cats - 2025'!$J:$J,"Adopted")</f>
        <v>0</v>
      </c>
      <c r="L30">
        <f>COUNTIFS('Cats - 2025'!$D:$D,"Senior",'Cats - 2025'!$E:$E,"&gt;=12/01/2025",'Cats - 2025'!$E:$E,"&lt;=12/31/2025",'Cats - 2025'!$J:$J,"Adopted")</f>
        <v>0</v>
      </c>
      <c r="M30" s="10">
        <f t="shared" si="6"/>
        <v>0</v>
      </c>
    </row>
    <row r="31" spans="1:13" x14ac:dyDescent="0.25">
      <c r="A31" s="13"/>
      <c r="B31" s="13">
        <f>SUM(B19:B30)</f>
        <v>99</v>
      </c>
      <c r="C31" s="13">
        <f t="shared" ref="C31:F31" si="7">SUM(C19:C30)</f>
        <v>14</v>
      </c>
      <c r="D31" s="13">
        <f t="shared" si="7"/>
        <v>58</v>
      </c>
      <c r="E31" s="13">
        <f t="shared" si="7"/>
        <v>0</v>
      </c>
      <c r="F31" s="13">
        <f t="shared" si="7"/>
        <v>171</v>
      </c>
      <c r="H31" s="13"/>
      <c r="I31" s="13">
        <f>SUM(I19:I30)</f>
        <v>24</v>
      </c>
      <c r="J31" s="13">
        <f t="shared" ref="J31:M31" si="8">SUM(J19:J30)</f>
        <v>2</v>
      </c>
      <c r="K31" s="13">
        <f t="shared" si="8"/>
        <v>14</v>
      </c>
      <c r="L31" s="13">
        <f t="shared" si="8"/>
        <v>0</v>
      </c>
      <c r="M31" s="13">
        <f t="shared" si="8"/>
        <v>40</v>
      </c>
    </row>
    <row r="33" spans="1:13" ht="24" x14ac:dyDescent="0.25">
      <c r="A33" s="35" t="s">
        <v>585</v>
      </c>
      <c r="B33" s="35"/>
      <c r="C33" s="35"/>
      <c r="D33" s="35"/>
      <c r="E33" s="35"/>
      <c r="F33" s="17">
        <f>F47/$F$15</f>
        <v>1.411764705882353E-2</v>
      </c>
      <c r="H33" s="35" t="s">
        <v>21</v>
      </c>
      <c r="I33" s="35"/>
      <c r="J33" s="35"/>
      <c r="K33" s="35"/>
      <c r="L33" s="35"/>
      <c r="M33" s="17">
        <f>M47/$F$15</f>
        <v>2.2352941176470589E-2</v>
      </c>
    </row>
    <row r="34" spans="1:13" x14ac:dyDescent="0.25">
      <c r="A34" s="9"/>
      <c r="B34" s="14" t="s">
        <v>209</v>
      </c>
      <c r="C34" s="14" t="s">
        <v>210</v>
      </c>
      <c r="D34" s="14" t="s">
        <v>208</v>
      </c>
      <c r="E34" s="14" t="s">
        <v>211</v>
      </c>
      <c r="F34" s="15" t="s">
        <v>202</v>
      </c>
      <c r="H34" s="9"/>
      <c r="I34" s="14" t="s">
        <v>209</v>
      </c>
      <c r="J34" s="14" t="s">
        <v>210</v>
      </c>
      <c r="K34" s="14" t="s">
        <v>208</v>
      </c>
      <c r="L34" s="14" t="s">
        <v>211</v>
      </c>
      <c r="M34" s="15" t="s">
        <v>202</v>
      </c>
    </row>
    <row r="35" spans="1:13" x14ac:dyDescent="0.25">
      <c r="A35" t="s">
        <v>338</v>
      </c>
      <c r="B35">
        <f>COUNTIFS('Cats - 2025'!$D:$D,"0-6 months",'Cats - 2025'!$E:$E,"&gt;=01/01/2025",'Cats - 2025'!$E:$E,"&lt;=1/31/2025",'Cats - 2025'!$J:$J,"DOA")</f>
        <v>0</v>
      </c>
      <c r="C35">
        <f>COUNTIFS('Cats - 2025'!$D:$D,"6-12 months",'Cats - 2025'!$E:$E,"&gt;=01/01/2025",'Cats - 2025'!$E:$E,"&lt;=1/31/2025",'Cats - 2025'!$J:$J,"DOA")</f>
        <v>0</v>
      </c>
      <c r="D35">
        <f>COUNTIFS('Cats - 2025'!$D:$D,"Adult",'Cats - 2025'!$E:$E,"&gt;=01/01/2025",'Cats - 2025'!$E:$E,"&lt;=1/31/2025",'Cats - 2025'!$J:$J,"DOA")</f>
        <v>1</v>
      </c>
      <c r="E35">
        <f>COUNTIFS('Cats - 2025'!$D:$D,"Senior",'Cats - 2025'!$E:$E,"&gt;=01/01/2025",'Cats - 2025'!$E:$E,"&lt;=1/31/2025",'Cats - 2025'!$J:$J,"DOA")</f>
        <v>0</v>
      </c>
      <c r="F35" s="10">
        <f>SUM(B35:E35)</f>
        <v>1</v>
      </c>
      <c r="H35" t="s">
        <v>338</v>
      </c>
      <c r="I35">
        <f>COUNTIFS('Cats - 2025'!$D:$D,"0-6 months",'Cats - 2025'!$E:$E,"&gt;=01/01/2025",'Cats - 2025'!$E:$E,"&lt;=1/31/2025",'Cats - 2025'!$J:$J,"Shelter")</f>
        <v>1</v>
      </c>
      <c r="J35">
        <f>COUNTIFS('Cats - 2025'!$D:$D,"6-12 months",'Cats - 2025'!$E:$E,"&gt;=01/01/2025",'Cats - 2025'!$E:$E,"&lt;=1/31/2025",'Cats - 2025'!$J:$J,"Shelter")</f>
        <v>0</v>
      </c>
      <c r="K35">
        <f>COUNTIFS('Cats - 2025'!$D:$D,"Adult",'Cats - 2025'!$E:$E,"&gt;=01/01/2025",'Cats - 2025'!$E:$E,"&lt;=1/31/2025",'Cats - 2025'!$J:$J,"Shelter")</f>
        <v>0</v>
      </c>
      <c r="L35">
        <f>COUNTIFS('Cats - 2025'!$D:$D,"Senior",'Cats - 2025'!$E:$E,"&gt;=01/01/2025",'Cats - 2025'!$E:$E,"&lt;=1/31/2025",'Cats - 2025'!$J:$J,"Shelter")</f>
        <v>0</v>
      </c>
      <c r="M35" s="10">
        <f>SUM(I35:L35)</f>
        <v>1</v>
      </c>
    </row>
    <row r="36" spans="1:13" x14ac:dyDescent="0.25">
      <c r="A36" t="s">
        <v>339</v>
      </c>
      <c r="B36">
        <f>COUNTIFS('Cats - 2025'!$D:$D,"0-6 months",'Cats - 2025'!$E:$E,"&gt;=02/01/2025",'Cats - 2025'!$E:$E,"&lt;=2/28/2025",'Cats - 2025'!$J:$J,"DOA")</f>
        <v>0</v>
      </c>
      <c r="C36">
        <f>COUNTIFS('Cats - 2025'!$D:$D,"6-12 months",'Cats - 2025'!$E:$E,"&gt;=02/01/2025",'Cats - 2025'!$E:$E,"&lt;=2/28/2025",'Cats - 2025'!$J:$J,"DOA")</f>
        <v>0</v>
      </c>
      <c r="D36">
        <f>COUNTIFS('Cats - 2025'!$D:$D,"Adult",'Cats - 2025'!$E:$E,"&gt;=02/01/2025",'Cats - 2025'!$E:$E,"&lt;=2/28/2025",'Cats - 2025'!$J:$J,"DOA")</f>
        <v>0</v>
      </c>
      <c r="E36">
        <f>COUNTIFS('Cats - 2025'!$D:$D,"Senior",'Cats - 2025'!$E:$E,"&gt;=02/01/2025",'Cats - 2025'!$E:$E,"&lt;=2/28/2025",'Cats - 2025'!$J:$J,"DOA")</f>
        <v>0</v>
      </c>
      <c r="F36" s="10">
        <f t="shared" ref="F36:F46" si="9">SUM(B36:E36)</f>
        <v>0</v>
      </c>
      <c r="H36" t="s">
        <v>339</v>
      </c>
      <c r="I36">
        <f>COUNTIFS('Cats - 2025'!$D:$D,"0-6 months",'Cats - 2025'!$E:$E,"&gt;=02/01/2025",'Cats - 2025'!$E:$E,"&lt;=2/28/2025",'Cats - 2025'!$J:$J,"Shelter")</f>
        <v>0</v>
      </c>
      <c r="J36">
        <f>COUNTIFS('Cats - 2025'!$D:$D,"6-12 months",'Cats - 2025'!$E:$E,"&gt;=02/01/2025",'Cats - 2025'!$E:$E,"&lt;=2/28/2025",'Cats - 2025'!$J:$J,"Shelter")</f>
        <v>0</v>
      </c>
      <c r="K36">
        <f>COUNTIFS('Cats - 2025'!$D:$D,"Adult",'Cats - 2025'!$E:$E,"&gt;=02/01/2025",'Cats - 2025'!$E:$E,"&lt;=2/28/2025",'Cats - 2025'!$J:$J,"Shelter")</f>
        <v>0</v>
      </c>
      <c r="L36">
        <f>COUNTIFS('Cats - 2025'!$D:$D,"Senior",'Cats - 2025'!$E:$E,"&gt;=02/01/2025",'Cats - 2025'!$E:$E,"&lt;=2/28/2025",'Cats - 2025'!$J:$J,"Shelter")</f>
        <v>0</v>
      </c>
      <c r="M36" s="10">
        <f t="shared" ref="M36:M46" si="10">SUM(I36:L36)</f>
        <v>0</v>
      </c>
    </row>
    <row r="37" spans="1:13" x14ac:dyDescent="0.25">
      <c r="A37" t="s">
        <v>340</v>
      </c>
      <c r="B37">
        <f>COUNTIFS('Cats - 2025'!$D:$D,"0-6 months",'Cats - 2025'!$E:$E,"&gt;=03/01/2025",'Cats - 2025'!$E:$E,"&lt;=3/31/2025",'Cats - 2025'!$J:$J,"DOA")</f>
        <v>1</v>
      </c>
      <c r="C37">
        <f>COUNTIFS('Cats - 2025'!$D:$D,"6-12 months",'Cats - 2025'!$E:$E,"&gt;=03/01/2025",'Cats - 2025'!$E:$E,"&lt;=3/31/2025",'Cats - 2025'!$J:$J,"DOA")</f>
        <v>0</v>
      </c>
      <c r="D37">
        <f>COUNTIFS('Cats - 2025'!$D:$D,"Adult",'Cats - 2025'!$E:$E,"&gt;=03/01/2025",'Cats - 2025'!$E:$E,"&lt;=3/31/2025",'Cats - 2025'!$J:$J,"DOA")</f>
        <v>0</v>
      </c>
      <c r="E37">
        <f>COUNTIFS('Cats - 2025'!$D:$D,"Senior",'Cats - 2025'!$E:$E,"&gt;=03/01/2025",'Cats - 2025'!$E:$E,"&lt;=3/31/2025",'Cats - 2025'!$J:$J,"DOA")</f>
        <v>0</v>
      </c>
      <c r="F37" s="10">
        <f t="shared" si="9"/>
        <v>1</v>
      </c>
      <c r="H37" t="s">
        <v>340</v>
      </c>
      <c r="I37">
        <f>COUNTIFS('Cats - 2025'!$D:$D,"0-6 months",'Cats - 2025'!$E:$E,"&gt;=03/01/2025",'Cats - 2025'!$E:$E,"&lt;=3/31/2025",'Cats - 2025'!$J:$J,"Shelter")</f>
        <v>1</v>
      </c>
      <c r="J37">
        <f>COUNTIFS('Cats - 2025'!$D:$D,"6-12 months",'Cats - 2025'!$E:$E,"&gt;=03/01/2025",'Cats - 2025'!$E:$E,"&lt;=3/31/2025",'Cats - 2025'!$J:$J,"Shelter")</f>
        <v>0</v>
      </c>
      <c r="K37">
        <f>COUNTIFS('Cats - 2025'!$D:$D,"Adult",'Cats - 2025'!$E:$E,"&gt;=03/01/2025",'Cats - 2025'!$E:$E,"&lt;=3/31/2025",'Cats - 2025'!$J:$J,"Shelter")</f>
        <v>1</v>
      </c>
      <c r="L37">
        <f>COUNTIFS('Cats - 2025'!$D:$D,"Senior",'Cats - 2025'!$E:$E,"&gt;=03/01/2025",'Cats - 2025'!$E:$E,"&lt;=3/31/2025",'Cats - 2025'!$J:$J,"Shelter")</f>
        <v>0</v>
      </c>
      <c r="M37" s="10">
        <f t="shared" si="10"/>
        <v>2</v>
      </c>
    </row>
    <row r="38" spans="1:13" x14ac:dyDescent="0.25">
      <c r="A38" t="s">
        <v>341</v>
      </c>
      <c r="B38">
        <f>COUNTIFS('Cats - 2025'!$D:$D,"0-6 months",'Cats - 2025'!$E:$E,"&gt;=04/01/2025",'Cats - 2025'!$E:$E,"&lt;=4/30/2025",'Cats - 2025'!$J:$J,"DOA")</f>
        <v>3</v>
      </c>
      <c r="C38">
        <f>COUNTIFS('Cats - 2025'!$D:$D,"6-12 months",'Cats - 2025'!$E:$E,"&gt;=04/01/2025",'Cats - 2025'!$E:$E,"&lt;=4/30/2025",'Cats - 2025'!$J:$J,"DOA")</f>
        <v>0</v>
      </c>
      <c r="D38">
        <f>COUNTIFS('Cats - 2025'!$D:$D,"Adult",'Cats - 2025'!$E:$E,"&gt;=04/01/2025",'Cats - 2025'!$E:$E,"&lt;=4/30/2025",'Cats - 2025'!$J:$J,"DOA")</f>
        <v>0</v>
      </c>
      <c r="E38">
        <f>COUNTIFS('Cats - 2025'!$D:$D,"Senior",'Cats - 2025'!$E:$E,"&gt;=04/01/2025",'Cats - 2025'!$E:$E,"&lt;=4/30/2025",'Cats - 2025'!$J:$J,"DOA")</f>
        <v>0</v>
      </c>
      <c r="F38" s="10">
        <f t="shared" si="9"/>
        <v>3</v>
      </c>
      <c r="H38" t="s">
        <v>341</v>
      </c>
      <c r="I38">
        <f>COUNTIFS('Cats - 2025'!$D:$D,"0-6 months",'Cats - 2025'!$E:$E,"&gt;=04/01/2025",'Cats - 2025'!$E:$E,"&lt;=4/30/2025",'Cats - 2025'!$J:$J,"Shelter")</f>
        <v>0</v>
      </c>
      <c r="J38">
        <f>COUNTIFS('Cats - 2025'!$D:$D,"6-12 months",'Cats - 2025'!$E:$E,"&gt;=04/01/2025",'Cats - 2025'!$E:$E,"&lt;=4/30/2025",'Cats - 2025'!$J:$J,"Shelter")</f>
        <v>0</v>
      </c>
      <c r="K38">
        <f>COUNTIFS('Cats - 2025'!$D:$D,"Adult",'Cats - 2025'!$E:$E,"&gt;=04/01/2025",'Cats - 2025'!$E:$E,"&lt;=4/30/2025",'Cats - 2025'!$J:$J,"Shelter")</f>
        <v>0</v>
      </c>
      <c r="L38">
        <f>COUNTIFS('Cats - 2025'!$D:$D,"Senior",'Cats - 2025'!$E:$E,"&gt;=04/01/2025",'Cats - 2025'!$E:$E,"&lt;=4/30/2025",'Cats - 2025'!$J:$J,"Shelter")</f>
        <v>0</v>
      </c>
      <c r="M38" s="10">
        <f t="shared" si="10"/>
        <v>0</v>
      </c>
    </row>
    <row r="39" spans="1:13" x14ac:dyDescent="0.25">
      <c r="A39" t="s">
        <v>342</v>
      </c>
      <c r="B39">
        <f>COUNTIFS('Cats - 2025'!$D:$D,"0-6 months",'Cats - 2025'!$E:$E,"&gt;=05/01/2025",'Cats - 2025'!$E:$E,"&lt;=5/31/2025",'Cats - 2025'!$J:$J,"DOA")</f>
        <v>3</v>
      </c>
      <c r="C39">
        <f>COUNTIFS('Cats - 2025'!$D:$D,"6-12 months",'Cats - 2025'!$E:$E,"&gt;=05/01/2025",'Cats - 2025'!$E:$E,"&lt;=5/31/2025",'Cats - 2025'!$J:$J,"DOA")</f>
        <v>0</v>
      </c>
      <c r="D39">
        <f>COUNTIFS('Cats - 2025'!$D:$D,"Adult",'Cats - 2025'!$E:$E,"&gt;=05/01/2025",'Cats - 2025'!$E:$E,"&lt;=5/31/2025",'Cats - 2025'!$J:$J,"DOA")</f>
        <v>0</v>
      </c>
      <c r="E39">
        <f>COUNTIFS('Cats - 2025'!$D:$D,"Senior",'Cats - 2025'!$E:$E,"&gt;=05/01/2025",'Cats - 2025'!$E:$E,"&lt;=5/31/2025",'Cats - 2025'!$J:$J,"DOA")</f>
        <v>0</v>
      </c>
      <c r="F39" s="10">
        <f t="shared" si="9"/>
        <v>3</v>
      </c>
      <c r="H39" t="s">
        <v>342</v>
      </c>
      <c r="I39">
        <f>COUNTIFS('Cats - 2025'!$D:$D,"0-6 months",'Cats - 2025'!$E:$E,"&gt;=05/01/2025",'Cats - 2025'!$E:$E,"&lt;=5/31/2025",'Cats - 2025'!$J:$J,"Shelter")</f>
        <v>2</v>
      </c>
      <c r="J39">
        <f>COUNTIFS('Cats - 2025'!$D:$D,"6-12 months",'Cats - 2025'!$E:$E,"&gt;=05/01/2025",'Cats - 2025'!$E:$E,"&lt;=5/31/2025",'Cats - 2025'!$J:$J,"Shelter")</f>
        <v>0</v>
      </c>
      <c r="K39">
        <f>COUNTIFS('Cats - 2025'!$D:$D,"Adult",'Cats - 2025'!$E:$E,"&gt;=05/01/2025",'Cats - 2025'!$E:$E,"&lt;=5/31/2025",'Cats - 2025'!$J:$J,"Shelter")</f>
        <v>3</v>
      </c>
      <c r="L39">
        <f>COUNTIFS('Cats - 2025'!$D:$D,"Senior",'Cats - 2025'!$E:$E,"&gt;=05/01/2025",'Cats - 2025'!$E:$E,"&lt;=5/31/2025",'Cats - 2025'!$J:$J,"Shelter")</f>
        <v>0</v>
      </c>
      <c r="M39" s="10">
        <f t="shared" si="10"/>
        <v>5</v>
      </c>
    </row>
    <row r="40" spans="1:13" x14ac:dyDescent="0.25">
      <c r="A40" t="s">
        <v>343</v>
      </c>
      <c r="B40">
        <f>COUNTIFS('Cats - 2025'!$D:$D,"0-6 months",'Cats - 2025'!$E:$E,"&gt;=06/01/2025",'Cats - 2025'!$E:$E,"&lt;=6/30/2025",'Cats - 2025'!$J:$J,"DOA")</f>
        <v>0</v>
      </c>
      <c r="C40">
        <f>COUNTIFS('Cats - 2025'!$D:$D,"6-12 months",'Cats - 2025'!$E:$E,"&gt;=06/01/2025",'Cats - 2025'!$E:$E,"&lt;=6/30/2025",'Cats - 2025'!$J:$J,"DOA")</f>
        <v>0</v>
      </c>
      <c r="D40">
        <f>COUNTIFS('Cats - 2025'!$D:$D,"Adult",'Cats - 2025'!$E:$E,"&gt;=06/01/2025",'Cats - 2025'!$E:$E,"&lt;=6/30/2025",'Cats - 2025'!$J:$J,"DOA")</f>
        <v>0</v>
      </c>
      <c r="E40">
        <f>COUNTIFS('Cats - 2025'!$D:$D,"Senior",'Cats - 2025'!$E:$E,"&gt;=06/01/2025",'Cats - 2025'!$E:$E,"&lt;=6/30/2025",'Cats - 2025'!$J:$J,"DOA")</f>
        <v>0</v>
      </c>
      <c r="F40" s="10">
        <f t="shared" si="9"/>
        <v>0</v>
      </c>
      <c r="H40" t="s">
        <v>343</v>
      </c>
      <c r="I40">
        <f>COUNTIFS('Cats - 2025'!$D:$D,"0-6 months",'Cats - 2025'!$E:$E,"&gt;=06/01/2025",'Cats - 2025'!$E:$E,"&lt;=6/30/2025",'Cats - 2025'!$J:$J,"Shelter")</f>
        <v>2</v>
      </c>
      <c r="J40">
        <f>COUNTIFS('Cats - 2025'!$D:$D,"6-12 months",'Cats - 2025'!$E:$E,"&gt;=06/01/2025",'Cats - 2025'!$E:$E,"&lt;=6/30/2025",'Cats - 2025'!$J:$J,"Shelter")</f>
        <v>0</v>
      </c>
      <c r="K40">
        <f>COUNTIFS('Cats - 2025'!$D:$D,"Adult",'Cats - 2025'!$E:$E,"&gt;=06/01/2025",'Cats - 2025'!$E:$E,"&lt;=6/30/2025",'Cats - 2025'!$J:$J,"Shelter")</f>
        <v>3</v>
      </c>
      <c r="L40">
        <f>COUNTIFS('Cats - 2025'!$D:$D,"Senior",'Cats - 2025'!$E:$E,"&gt;=06/01/2025",'Cats - 2025'!$E:$E,"&lt;=6/30/2025",'Cats - 2025'!$J:$J,"Shelter")</f>
        <v>0</v>
      </c>
      <c r="M40" s="10">
        <f t="shared" si="10"/>
        <v>5</v>
      </c>
    </row>
    <row r="41" spans="1:13" x14ac:dyDescent="0.25">
      <c r="A41" t="s">
        <v>344</v>
      </c>
      <c r="B41">
        <f>COUNTIFS('Cats - 2025'!$D:$D,"0-6 months",'Cats - 2025'!$E:$E,"&gt;=07/01/2025",'Cats - 2025'!$E:$E,"&lt;=7/31/2025",'Cats - 2025'!$J:$J,"DOA")</f>
        <v>3</v>
      </c>
      <c r="C41">
        <f>COUNTIFS('Cats - 2025'!$D:$D,"6-12 months",'Cats - 2025'!$E:$E,"&gt;=07/01/2025",'Cats - 2025'!$E:$E,"&lt;=7/31/2025",'Cats - 2025'!$J:$J,"DOA")</f>
        <v>0</v>
      </c>
      <c r="D41">
        <f>COUNTIFS('Cats - 2025'!$D:$D,"Adult",'Cats - 2025'!$E:$E,"&gt;=07/01/2025",'Cats - 2025'!$E:$E,"&lt;=7/31/2025",'Cats - 2025'!$J:$J,"DOA")</f>
        <v>1</v>
      </c>
      <c r="E41">
        <f>COUNTIFS('Cats - 2025'!$D:$D,"Senior",'Cats - 2025'!$E:$E,"&gt;=07/01/2025",'Cats - 2025'!$E:$E,"&lt;=7/31/2025",'Cats - 2025'!$J:$J,"DOA")</f>
        <v>0</v>
      </c>
      <c r="F41" s="10">
        <f t="shared" si="9"/>
        <v>4</v>
      </c>
      <c r="H41" t="s">
        <v>344</v>
      </c>
      <c r="I41">
        <f>COUNTIFS('Cats - 2025'!$D:$D,"0-6 months",'Cats - 2025'!$E:$E,"&gt;=07/01/2025",'Cats - 2025'!$E:$E,"&lt;=7/31/2025",'Cats - 2025'!$J:$J,"Shelter")</f>
        <v>5</v>
      </c>
      <c r="J41">
        <f>COUNTIFS('Cats - 2025'!$D:$D,"6-12 months",'Cats - 2025'!$E:$E,"&gt;=07/01/2025",'Cats - 2025'!$E:$E,"&lt;=7/31/2025",'Cats - 2025'!$J:$J,"Shelter")</f>
        <v>0</v>
      </c>
      <c r="K41">
        <f>COUNTIFS('Cats - 2025'!$D:$D,"Adult",'Cats - 2025'!$E:$E,"&gt;=07/01/2025",'Cats - 2025'!$E:$E,"&lt;=7/31/2025",'Cats - 2025'!$J:$J,"Shelter")</f>
        <v>1</v>
      </c>
      <c r="L41">
        <f>COUNTIFS('Cats - 2025'!$D:$D,"Senior",'Cats - 2025'!$E:$E,"&gt;=07/01/2025",'Cats - 2025'!$E:$E,"&lt;=7/31/2025",'Cats - 2025'!$J:$J,"Shelter")</f>
        <v>0</v>
      </c>
      <c r="M41" s="10">
        <f t="shared" si="10"/>
        <v>6</v>
      </c>
    </row>
    <row r="42" spans="1:13" x14ac:dyDescent="0.25">
      <c r="A42" t="s">
        <v>345</v>
      </c>
      <c r="B42">
        <f>COUNTIFS('Cats - 2025'!$D:$D,"0-6 months",'Cats - 2025'!$E:$E,"&gt;=08/01/2025",'Cats - 2025'!$E:$E,"&lt;=8/31/2025",'Cats - 2025'!$J:$J,"DOA")</f>
        <v>0</v>
      </c>
      <c r="C42">
        <f>COUNTIFS('Cats - 2025'!$D:$D,"6-12 months",'Cats - 2025'!$E:$E,"&gt;=08/01/2025",'Cats - 2025'!$E:$E,"&lt;=8/31/2025",'Cats - 2025'!$J:$J,"DOA")</f>
        <v>0</v>
      </c>
      <c r="D42">
        <f>COUNTIFS('Cats - 2025'!$D:$D,"Adult",'Cats - 2025'!$E:$E,"&gt;=08/01/2025",'Cats - 2025'!$E:$E,"&lt;=8/31/2025",'Cats - 2025'!$J:$J,"DOA")</f>
        <v>0</v>
      </c>
      <c r="E42">
        <f>COUNTIFS('Cats - 2025'!$D:$D,"Senior",'Cats - 2025'!$E:$E,"&gt;=08/01/2025",'Cats - 2025'!$E:$E,"&lt;=8/31/2025",'Cats - 2025'!$J:$J,"DOA")</f>
        <v>0</v>
      </c>
      <c r="F42" s="10">
        <f t="shared" si="9"/>
        <v>0</v>
      </c>
      <c r="H42" t="s">
        <v>345</v>
      </c>
      <c r="I42">
        <f>COUNTIFS('Cats - 2025'!$D:$D,"0-6 months",'Cats - 2025'!$E:$E,"&gt;=08/01/2025",'Cats - 2025'!$E:$E,"&lt;=8/31/2025",'Cats - 2025'!$J:$J,"Shelter")</f>
        <v>0</v>
      </c>
      <c r="J42">
        <f>COUNTIFS('Cats - 2025'!$D:$D,"6-12 months",'Cats - 2025'!$E:$E,"&gt;=08/01/2025",'Cats - 2025'!$E:$E,"&lt;=8/31/2025",'Cats - 2025'!$J:$J,"Shelter")</f>
        <v>0</v>
      </c>
      <c r="K42">
        <f>COUNTIFS('Cats - 2025'!$D:$D,"Adult",'Cats - 2025'!$E:$E,"&gt;=08/01/2025",'Cats - 2025'!$E:$E,"&lt;=8/31/2025",'Cats - 2025'!$J:$J,"Shelter")</f>
        <v>0</v>
      </c>
      <c r="L42">
        <f>COUNTIFS('Cats - 2025'!$D:$D,"Senior",'Cats - 2025'!$E:$E,"&gt;=08/01/2025",'Cats - 2025'!$E:$E,"&lt;=8/31/2025",'Cats - 2025'!$J:$J,"Shelter")</f>
        <v>0</v>
      </c>
      <c r="M42" s="10">
        <f t="shared" si="10"/>
        <v>0</v>
      </c>
    </row>
    <row r="43" spans="1:13" x14ac:dyDescent="0.25">
      <c r="A43" t="s">
        <v>346</v>
      </c>
      <c r="B43">
        <f>COUNTIFS('Cats - 2025'!$D:$D,"0-6 months",'Cats - 2025'!$E:$E,"&gt;=09/01/2025",'Cats - 2025'!$E:$E,"&lt;=9/30/2025",'Cats - 2025'!$J:$J,"DOA")</f>
        <v>0</v>
      </c>
      <c r="C43">
        <f>COUNTIFS('Cats - 2025'!$D:$D,"6-12 months",'Cats - 2025'!$E:$E,"&gt;=09/01/2025",'Cats - 2025'!$E:$E,"&lt;=9/30/2025",'Cats - 2025'!$J:$J,"DOA")</f>
        <v>0</v>
      </c>
      <c r="D43">
        <f>COUNTIFS('Cats - 2025'!$D:$D,"Adult",'Cats - 2025'!$E:$E,"&gt;=09/01/2025",'Cats - 2025'!$E:$E,"&lt;=9/30/2025",'Cats - 2025'!$J:$J,"DOA")</f>
        <v>0</v>
      </c>
      <c r="E43">
        <f>COUNTIFS('Cats - 2025'!$D:$D,"Senior",'Cats - 2025'!$E:$E,"&gt;=09/01/2025",'Cats - 2025'!$E:$E,"&lt;=9/30/2025",'Cats - 2025'!$J:$J,"DOA")</f>
        <v>0</v>
      </c>
      <c r="F43" s="10">
        <f t="shared" si="9"/>
        <v>0</v>
      </c>
      <c r="H43" t="s">
        <v>346</v>
      </c>
      <c r="I43">
        <f>COUNTIFS('Cats - 2025'!$D:$D,"0-6 months",'Cats - 2025'!$E:$E,"&gt;=09/01/2025",'Cats - 2025'!$E:$E,"&lt;=9/30/2025",'Cats - 2025'!$J:$J,"Shelter")</f>
        <v>0</v>
      </c>
      <c r="J43">
        <f>COUNTIFS('Cats - 2025'!$D:$D,"6-12 months",'Cats - 2025'!$E:$E,"&gt;=09/01/2025",'Cats - 2025'!$E:$E,"&lt;=9/30/2025",'Cats - 2025'!$J:$J,"Shelter")</f>
        <v>0</v>
      </c>
      <c r="K43">
        <f>COUNTIFS('Cats - 2025'!$D:$D,"Adult",'Cats - 2025'!$E:$E,"&gt;=09/01/2025",'Cats - 2025'!$E:$E,"&lt;=9/30/2025",'Cats - 2025'!$J:$J,"Shelter")</f>
        <v>0</v>
      </c>
      <c r="L43">
        <f>COUNTIFS('Cats - 2025'!$D:$D,"Senior",'Cats - 2025'!$E:$E,"&gt;=09/01/2025",'Cats - 2025'!$E:$E,"&lt;=9/30/2025",'Cats - 2025'!$J:$J,"Shelter")</f>
        <v>0</v>
      </c>
      <c r="M43" s="10">
        <f t="shared" si="10"/>
        <v>0</v>
      </c>
    </row>
    <row r="44" spans="1:13" x14ac:dyDescent="0.25">
      <c r="A44" t="s">
        <v>347</v>
      </c>
      <c r="B44">
        <f>COUNTIFS('Cats - 2025'!$D:$D,"0-6 months",'Cats - 2025'!$E:$E,"&gt;=10/01/2025",'Cats - 2025'!$E:$E,"&lt;=10/31/2025",'Cats - 2025'!$J:$J,"DOA")</f>
        <v>0</v>
      </c>
      <c r="C44">
        <f>COUNTIFS('Cats - 2025'!$D:$D,"6-12 months",'Cats - 2025'!$E:$E,"&gt;=10/01/2025",'Cats - 2025'!$E:$E,"&lt;=10/31/2025",'Cats - 2025'!$J:$J,"DOA")</f>
        <v>0</v>
      </c>
      <c r="D44">
        <f>COUNTIFS('Cats - 2025'!$D:$D,"Adult",'Cats - 2025'!$E:$E,"&gt;=10/01/2025",'Cats - 2025'!$E:$E,"&lt;=10/31/2025",'Cats - 2025'!$J:$J,"DOA")</f>
        <v>0</v>
      </c>
      <c r="E44">
        <f>COUNTIFS('Cats - 2025'!$D:$D,"Senior",'Cats - 2025'!$E:$E,"&gt;=10/01/2025",'Cats - 2025'!$E:$E,"&lt;=10/31/2025",'Cats - 2025'!$J:$J,"DOA")</f>
        <v>0</v>
      </c>
      <c r="F44" s="10">
        <f t="shared" si="9"/>
        <v>0</v>
      </c>
      <c r="H44" t="s">
        <v>347</v>
      </c>
      <c r="I44">
        <f>COUNTIFS('Cats - 2025'!$D:$D,"0-6 months",'Cats - 2025'!$E:$E,"&gt;=10/01/2025",'Cats - 2025'!$E:$E,"&lt;=10/31/2025",'Cats - 2025'!$J:$J,"Shelter")</f>
        <v>0</v>
      </c>
      <c r="J44">
        <f>COUNTIFS('Cats - 2025'!$D:$D,"6-12 months",'Cats - 2025'!$E:$E,"&gt;=10/01/2025",'Cats - 2025'!$E:$E,"&lt;=10/31/2025",'Cats - 2025'!$J:$J,"Shelter")</f>
        <v>0</v>
      </c>
      <c r="K44">
        <f>COUNTIFS('Cats - 2025'!$D:$D,"Adult",'Cats - 2025'!$E:$E,"&gt;=10/01/2025",'Cats - 2025'!$E:$E,"&lt;=10/31/2025",'Cats - 2025'!$J:$J,"Shelter")</f>
        <v>0</v>
      </c>
      <c r="L44">
        <f>COUNTIFS('Cats - 2025'!$D:$D,"Senior",'Cats - 2025'!$E:$E,"&gt;=10/01/2025",'Cats - 2025'!$E:$E,"&lt;=10/31/2025",'Cats - 2025'!$J:$J,"Shelter")</f>
        <v>0</v>
      </c>
      <c r="M44" s="10">
        <f t="shared" si="10"/>
        <v>0</v>
      </c>
    </row>
    <row r="45" spans="1:13" x14ac:dyDescent="0.25">
      <c r="A45" t="s">
        <v>348</v>
      </c>
      <c r="B45">
        <f>COUNTIFS('Cats - 2025'!$D:$D,"0-6 months",'Cats - 2025'!$E:$E,"&gt;=11/01/2025",'Cats - 2025'!$E:$E,"&lt;=11/30/2025",'Cats - 2025'!$J:$J,"DOA")</f>
        <v>0</v>
      </c>
      <c r="C45">
        <f>COUNTIFS('Cats - 2025'!$D:$D,"6-12 months",'Cats - 2025'!$E:$E,"&gt;=11/01/2025",'Cats - 2025'!$E:$E,"&lt;=11/30/2025",'Cats - 2025'!$J:$J,"DOA")</f>
        <v>0</v>
      </c>
      <c r="D45">
        <f>COUNTIFS('Cats - 2025'!$D:$D,"Adult",'Cats - 2025'!$E:$E,"&gt;=11/01/2025",'Cats - 2025'!$E:$E,"&lt;=11/30/2025",'Cats - 2025'!$J:$J,"DOA")</f>
        <v>0</v>
      </c>
      <c r="E45">
        <f>COUNTIFS('Cats - 2025'!$D:$D,"Senior",'Cats - 2025'!$E:$E,"&gt;=11/01/2025",'Cats - 2025'!$E:$E,"&lt;=11/30/2025",'Cats - 2025'!$J:$J,"DOA")</f>
        <v>0</v>
      </c>
      <c r="F45" s="10">
        <f t="shared" si="9"/>
        <v>0</v>
      </c>
      <c r="H45" t="s">
        <v>348</v>
      </c>
      <c r="I45">
        <f>COUNTIFS('Cats - 2025'!$D:$D,"0-6 months",'Cats - 2025'!$E:$E,"&gt;=11/01/2025",'Cats - 2025'!$E:$E,"&lt;=11/30/2025",'Cats - 2025'!$J:$J,"Shelter")</f>
        <v>0</v>
      </c>
      <c r="J45">
        <f>COUNTIFS('Cats - 2025'!$D:$D,"6-12 months",'Cats - 2025'!$E:$E,"&gt;=11/01/2025",'Cats - 2025'!$E:$E,"&lt;=11/30/2025",'Cats - 2025'!$J:$J,"Shelter")</f>
        <v>0</v>
      </c>
      <c r="K45">
        <f>COUNTIFS('Cats - 2025'!$D:$D,"Adult",'Cats - 2025'!$E:$E,"&gt;=11/01/2025",'Cats - 2025'!$E:$E,"&lt;=11/30/2025",'Cats - 2025'!$J:$J,"Shelter")</f>
        <v>0</v>
      </c>
      <c r="L45">
        <f>COUNTIFS('Cats - 2025'!$D:$D,"Senior",'Cats - 2025'!$E:$E,"&gt;=11/01/2025",'Cats - 2025'!$E:$E,"&lt;=11/30/2025",'Cats - 2025'!$J:$J,"Shelter")</f>
        <v>0</v>
      </c>
      <c r="M45" s="10">
        <f t="shared" si="10"/>
        <v>0</v>
      </c>
    </row>
    <row r="46" spans="1:13" x14ac:dyDescent="0.25">
      <c r="A46" t="s">
        <v>349</v>
      </c>
      <c r="B46">
        <f>COUNTIFS('Cats - 2025'!$D:$D,"0-6 months",'Cats - 2025'!$E:$E,"&gt;=12/01/2025",'Cats - 2025'!$E:$E,"&lt;=12/31/2025",'Cats - 2025'!$J:$J,"DOA")</f>
        <v>0</v>
      </c>
      <c r="C46">
        <f>COUNTIFS('Cats - 2025'!$D:$D,"6-12 months",'Cats - 2025'!$E:$E,"&gt;=12/01/2025",'Cats - 2025'!$E:$E,"&lt;=12/31/2025",'Cats - 2025'!$J:$J,"DOA")</f>
        <v>0</v>
      </c>
      <c r="D46">
        <f>COUNTIFS('Cats - 2025'!$D:$D,"Adult",'Cats - 2025'!$E:$E,"&gt;=12/01/2025",'Cats - 2025'!$E:$E,"&lt;=12/31/2025",'Cats - 2025'!$J:$J,"DOA")</f>
        <v>0</v>
      </c>
      <c r="E46">
        <f>COUNTIFS('Cats - 2025'!$D:$D,"Senior",'Cats - 2025'!$E:$E,"&gt;=12/01/2025",'Cats - 2025'!$E:$E,"&lt;=12/31/2025",'Cats - 2025'!$J:$J,"DOA")</f>
        <v>0</v>
      </c>
      <c r="F46" s="10">
        <f t="shared" si="9"/>
        <v>0</v>
      </c>
      <c r="H46" t="s">
        <v>349</v>
      </c>
      <c r="I46">
        <f>COUNTIFS('Cats - 2025'!$D:$D,"0-6 months",'Cats - 2025'!$E:$E,"&gt;=12/01/2025",'Cats - 2025'!$E:$E,"&lt;=12/31/2025",'Cats - 2025'!$J:$J,"Shelter")</f>
        <v>0</v>
      </c>
      <c r="J46">
        <f>COUNTIFS('Cats - 2025'!$D:$D,"6-12 months",'Cats - 2025'!$E:$E,"&gt;=12/01/2025",'Cats - 2025'!$E:$E,"&lt;=12/31/2025",'Cats - 2025'!$J:$J,"Shelter")</f>
        <v>0</v>
      </c>
      <c r="K46">
        <f>COUNTIFS('Cats - 2025'!$D:$D,"Adult",'Cats - 2025'!$E:$E,"&gt;=12/01/2025",'Cats - 2025'!$E:$E,"&lt;=12/31/2025",'Cats - 2025'!$J:$J,"Shelter")</f>
        <v>0</v>
      </c>
      <c r="L46">
        <f>COUNTIFS('Cats - 2025'!$D:$D,"Senior",'Cats - 2025'!$E:$E,"&gt;=12/01/2025",'Cats - 2025'!$E:$E,"&lt;=12/31/2025",'Cats - 2025'!$J:$J,"Shelter")</f>
        <v>0</v>
      </c>
      <c r="M46" s="10">
        <f t="shared" si="10"/>
        <v>0</v>
      </c>
    </row>
    <row r="47" spans="1:13" x14ac:dyDescent="0.25">
      <c r="A47" s="13"/>
      <c r="B47" s="13">
        <f>SUM(B35:B46)</f>
        <v>10</v>
      </c>
      <c r="C47" s="13">
        <f t="shared" ref="C47" si="11">SUM(C35:C46)</f>
        <v>0</v>
      </c>
      <c r="D47" s="13">
        <f t="shared" ref="D47" si="12">SUM(D35:D46)</f>
        <v>2</v>
      </c>
      <c r="E47" s="13">
        <f t="shared" ref="E47" si="13">SUM(E35:E46)</f>
        <v>0</v>
      </c>
      <c r="F47" s="13">
        <f t="shared" ref="F47" si="14">SUM(F35:F46)</f>
        <v>12</v>
      </c>
      <c r="H47" s="13"/>
      <c r="I47" s="13">
        <f>SUM(I35:I46)</f>
        <v>11</v>
      </c>
      <c r="J47" s="13">
        <f t="shared" ref="J47" si="15">SUM(J35:J46)</f>
        <v>0</v>
      </c>
      <c r="K47" s="13">
        <f t="shared" ref="K47" si="16">SUM(K35:K46)</f>
        <v>8</v>
      </c>
      <c r="L47" s="13">
        <f t="shared" ref="L47" si="17">SUM(L35:L46)</f>
        <v>0</v>
      </c>
      <c r="M47" s="13">
        <f t="shared" ref="M47" si="18">SUM(M35:M46)</f>
        <v>19</v>
      </c>
    </row>
    <row r="49" spans="1:6" ht="24" x14ac:dyDescent="0.25">
      <c r="A49" s="35" t="s">
        <v>584</v>
      </c>
      <c r="B49" s="35"/>
      <c r="C49" s="35"/>
      <c r="D49" s="35"/>
      <c r="E49" s="35"/>
      <c r="F49" s="17">
        <f>F63/$F$15</f>
        <v>1.0588235294117647E-2</v>
      </c>
    </row>
    <row r="50" spans="1:6" x14ac:dyDescent="0.25">
      <c r="A50" s="9"/>
      <c r="B50" s="14" t="s">
        <v>209</v>
      </c>
      <c r="C50" s="14" t="s">
        <v>210</v>
      </c>
      <c r="D50" s="14" t="s">
        <v>208</v>
      </c>
      <c r="E50" s="14" t="s">
        <v>211</v>
      </c>
      <c r="F50" s="15" t="s">
        <v>202</v>
      </c>
    </row>
    <row r="51" spans="1:6" x14ac:dyDescent="0.25">
      <c r="A51" t="s">
        <v>338</v>
      </c>
      <c r="B51">
        <f>COUNTIFS('Cats - 2025'!$D:$D,"0-6 months",'Cats - 2025'!$E:$E,"&gt;=01/01/2025",'Cats - 2025'!$E:$E,"&lt;=1/31/2025",'Cats - 2025'!$J:$J,"RTO")</f>
        <v>0</v>
      </c>
      <c r="C51">
        <f>COUNTIFS('Cats - 2025'!$D:$D,"6-12 months",'Cats - 2025'!$E:$E,"&gt;=01/01/2025",'Cats - 2025'!$E:$E,"&lt;=1/31/2025",'Cats - 2025'!$J:$J,"RTO")</f>
        <v>0</v>
      </c>
      <c r="D51">
        <f>COUNTIFS('Cats - 2025'!$D:$D,"Adult",'Cats - 2025'!$E:$E,"&gt;=01/01/2025",'Cats - 2025'!$E:$E,"&lt;=1/31/2025",'Cats - 2025'!$J:$J,"RTO")</f>
        <v>0</v>
      </c>
      <c r="E51">
        <f>COUNTIFS('Cats - 2025'!$D:$D,"Senior",'Cats - 2025'!$E:$E,"&gt;=01/01/2025",'Cats - 2025'!$E:$E,"&lt;=1/31/2025",'Cats - 2025'!$J:$J,"RTO")</f>
        <v>0</v>
      </c>
      <c r="F51" s="10">
        <f>SUM(B51:E51)</f>
        <v>0</v>
      </c>
    </row>
    <row r="52" spans="1:6" x14ac:dyDescent="0.25">
      <c r="A52" t="s">
        <v>339</v>
      </c>
      <c r="B52">
        <f>COUNTIFS('Cats - 2025'!$D:$D,"0-6 months",'Cats - 2025'!$E:$E,"&gt;=02/01/2025",'Cats - 2025'!$E:$E,"&lt;=2/28/2025",'Cats - 2025'!$J:$J,"RTO")</f>
        <v>1</v>
      </c>
      <c r="C52">
        <f>COUNTIFS('Cats - 2025'!$D:$D,"6-12 months",'Cats - 2025'!$E:$E,"&gt;=02/01/2025",'Cats - 2025'!$E:$E,"&lt;=2/28/2025",'Cats - 2025'!$J:$J,"RTO")</f>
        <v>0</v>
      </c>
      <c r="D52">
        <f>COUNTIFS('Cats - 2025'!$D:$D,"Adult",'Cats - 2025'!$E:$E,"&gt;=02/01/2025",'Cats - 2025'!$E:$E,"&lt;=2/28/2025",'Cats - 2025'!$J:$J,"RTO")</f>
        <v>0</v>
      </c>
      <c r="E52">
        <f>COUNTIFS('Cats - 2025'!$D:$D,"Senior",'Cats - 2025'!$E:$E,"&gt;=02/01/2025",'Cats - 2025'!$E:$E,"&lt;=2/28/2025",'Cats - 2025'!$J:$J,"RTO")</f>
        <v>0</v>
      </c>
      <c r="F52" s="10">
        <f t="shared" ref="F52:F62" si="19">SUM(B52:E52)</f>
        <v>1</v>
      </c>
    </row>
    <row r="53" spans="1:6" x14ac:dyDescent="0.25">
      <c r="A53" t="s">
        <v>340</v>
      </c>
      <c r="B53">
        <f>COUNTIFS('Cats - 2025'!$D:$D,"0-6 months",'Cats - 2025'!$E:$E,"&gt;=03/01/2025",'Cats - 2025'!$E:$E,"&lt;=3/31/2025",'Cats - 2025'!$J:$J,"RTO")</f>
        <v>0</v>
      </c>
      <c r="C53">
        <f>COUNTIFS('Cats - 2025'!$D:$D,"6-12 months",'Cats - 2025'!$E:$E,"&gt;=03/01/2025",'Cats - 2025'!$E:$E,"&lt;=3/31/2025",'Cats - 2025'!$J:$J,"RTO")</f>
        <v>0</v>
      </c>
      <c r="D53">
        <f>COUNTIFS('Cats - 2025'!$D:$D,"Adult",'Cats - 2025'!$E:$E,"&gt;=03/01/2025",'Cats - 2025'!$E:$E,"&lt;=3/31/2025",'Cats - 2025'!$J:$J,"RTO")</f>
        <v>0</v>
      </c>
      <c r="E53">
        <f>COUNTIFS('Cats - 2025'!$D:$D,"Senior",'Cats - 2025'!$E:$E,"&gt;=03/01/2025",'Cats - 2025'!$E:$E,"&lt;=3/31/2025",'Cats - 2025'!$J:$J,"RTO")</f>
        <v>0</v>
      </c>
      <c r="F53" s="10">
        <f t="shared" si="19"/>
        <v>0</v>
      </c>
    </row>
    <row r="54" spans="1:6" x14ac:dyDescent="0.25">
      <c r="A54" t="s">
        <v>341</v>
      </c>
      <c r="B54">
        <f>COUNTIFS('Cats - 2025'!$D:$D,"0-6 months",'Cats - 2025'!$E:$E,"&gt;=04/01/2025",'Cats - 2025'!$E:$E,"&lt;=4/30/2025",'Cats - 2025'!$J:$J,"RTO")</f>
        <v>0</v>
      </c>
      <c r="C54">
        <f>COUNTIFS('Cats - 2025'!$D:$D,"6-12 months",'Cats - 2025'!$E:$E,"&gt;=04/01/2025",'Cats - 2025'!$E:$E,"&lt;=4/30/2025",'Cats - 2025'!$J:$J,"RTO")</f>
        <v>0</v>
      </c>
      <c r="D54">
        <f>COUNTIFS('Cats - 2025'!$D:$D,"Adult",'Cats - 2025'!$E:$E,"&gt;=04/01/2025",'Cats - 2025'!$E:$E,"&lt;=4/30/2025",'Cats - 2025'!$J:$J,"RTO")</f>
        <v>2</v>
      </c>
      <c r="E54">
        <f>COUNTIFS('Cats - 2025'!$D:$D,"Senior",'Cats - 2025'!$E:$E,"&gt;=04/01/2025",'Cats - 2025'!$E:$E,"&lt;=4/30/2025",'Cats - 2025'!$J:$J,"RTO")</f>
        <v>1</v>
      </c>
      <c r="F54" s="10">
        <f t="shared" si="19"/>
        <v>3</v>
      </c>
    </row>
    <row r="55" spans="1:6" x14ac:dyDescent="0.25">
      <c r="A55" t="s">
        <v>342</v>
      </c>
      <c r="B55">
        <f>COUNTIFS('Cats - 2025'!$D:$D,"0-6 months",'Cats - 2025'!$E:$E,"&gt;=05/01/2025",'Cats - 2025'!$E:$E,"&lt;=5/31/2025",'Cats - 2025'!$J:$J,"RTO")</f>
        <v>0</v>
      </c>
      <c r="C55">
        <f>COUNTIFS('Cats - 2025'!$D:$D,"6-12 months",'Cats - 2025'!$E:$E,"&gt;=05/01/2025",'Cats - 2025'!$E:$E,"&lt;=5/31/2025",'Cats - 2025'!$J:$J,"RTO")</f>
        <v>0</v>
      </c>
      <c r="D55">
        <f>COUNTIFS('Cats - 2025'!$D:$D,"Adult",'Cats - 2025'!$E:$E,"&gt;=05/01/2025",'Cats - 2025'!$E:$E,"&lt;=5/31/2025",'Cats - 2025'!$J:$J,"RTO")</f>
        <v>0</v>
      </c>
      <c r="E55">
        <f>COUNTIFS('Cats - 2025'!$D:$D,"Senior",'Cats - 2025'!$E:$E,"&gt;=05/01/2025",'Cats - 2025'!$E:$E,"&lt;=5/31/2025",'Cats - 2025'!$J:$J,"RTO")</f>
        <v>0</v>
      </c>
      <c r="F55" s="10">
        <f t="shared" si="19"/>
        <v>0</v>
      </c>
    </row>
    <row r="56" spans="1:6" x14ac:dyDescent="0.25">
      <c r="A56" t="s">
        <v>343</v>
      </c>
      <c r="B56">
        <f>COUNTIFS('Cats - 2025'!$D:$D,"0-6 months",'Cats - 2025'!$E:$E,"&gt;=06/01/2025",'Cats - 2025'!$E:$E,"&lt;=6/30/2025",'Cats - 2025'!$J:$J,"RTO")</f>
        <v>0</v>
      </c>
      <c r="C56">
        <f>COUNTIFS('Cats - 2025'!$D:$D,"6-12 months",'Cats - 2025'!$E:$E,"&gt;=06/01/2025",'Cats - 2025'!$E:$E,"&lt;=6/30/2025",'Cats - 2025'!$J:$J,"RTO")</f>
        <v>0</v>
      </c>
      <c r="D56">
        <f>COUNTIFS('Cats - 2025'!$D:$D,"Adult",'Cats - 2025'!$E:$E,"&gt;=06/01/2025",'Cats - 2025'!$E:$E,"&lt;=6/30/2025",'Cats - 2025'!$J:$J,"RTO")</f>
        <v>2</v>
      </c>
      <c r="E56">
        <f>COUNTIFS('Cats - 2025'!$D:$D,"Senior",'Cats - 2025'!$E:$E,"&gt;=06/01/2025",'Cats - 2025'!$E:$E,"&lt;=6/30/2025",'Cats - 2025'!$J:$J,"RTO")</f>
        <v>0</v>
      </c>
      <c r="F56" s="10">
        <f t="shared" si="19"/>
        <v>2</v>
      </c>
    </row>
    <row r="57" spans="1:6" x14ac:dyDescent="0.25">
      <c r="A57" t="s">
        <v>344</v>
      </c>
      <c r="B57">
        <f>COUNTIFS('Cats - 2025'!$D:$D,"0-6 months",'Cats - 2025'!$E:$E,"&gt;=07/01/2025",'Cats - 2025'!$E:$E,"&lt;=7/31/2025",'Cats - 2025'!$J:$J,"RTO")</f>
        <v>0</v>
      </c>
      <c r="C57">
        <f>COUNTIFS('Cats - 2025'!$D:$D,"6-12 months",'Cats - 2025'!$E:$E,"&gt;=07/01/2025",'Cats - 2025'!$E:$E,"&lt;=7/31/2025",'Cats - 2025'!$J:$J,"RTO")</f>
        <v>0</v>
      </c>
      <c r="D57">
        <f>COUNTIFS('Cats - 2025'!$D:$D,"Adult",'Cats - 2025'!$E:$E,"&gt;=07/01/2025",'Cats - 2025'!$E:$E,"&lt;=7/31/2025",'Cats - 2025'!$J:$J,"RTO")</f>
        <v>3</v>
      </c>
      <c r="E57">
        <f>COUNTIFS('Cats - 2025'!$D:$D,"Senior",'Cats - 2025'!$E:$E,"&gt;=07/01/2025",'Cats - 2025'!$E:$E,"&lt;=7/31/2025",'Cats - 2025'!$J:$J,"RTO")</f>
        <v>0</v>
      </c>
      <c r="F57" s="10">
        <f t="shared" si="19"/>
        <v>3</v>
      </c>
    </row>
    <row r="58" spans="1:6" x14ac:dyDescent="0.25">
      <c r="A58" t="s">
        <v>345</v>
      </c>
      <c r="B58">
        <f>COUNTIFS('Cats - 2025'!$D:$D,"0-6 months",'Cats - 2025'!$E:$E,"&gt;=08/01/2025",'Cats - 2025'!$E:$E,"&lt;=8/31/2025",'Cats - 2025'!$J:$J,"RTO")</f>
        <v>0</v>
      </c>
      <c r="C58">
        <f>COUNTIFS('Cats - 2025'!$D:$D,"6-12 months",'Cats - 2025'!$E:$E,"&gt;=08/01/2025",'Cats - 2025'!$E:$E,"&lt;=8/31/2025",'Cats - 2025'!$J:$J,"RTO")</f>
        <v>0</v>
      </c>
      <c r="D58">
        <f>COUNTIFS('Cats - 2025'!$D:$D,"Adult",'Cats - 2025'!$E:$E,"&gt;=08/01/2025",'Cats - 2025'!$E:$E,"&lt;=8/31/2025",'Cats - 2025'!$J:$J,"RTO")</f>
        <v>0</v>
      </c>
      <c r="E58">
        <f>COUNTIFS('Cats - 2025'!$D:$D,"Senior",'Cats - 2025'!$E:$E,"&gt;=08/01/2025",'Cats - 2025'!$E:$E,"&lt;=8/31/2025",'Cats - 2025'!$J:$J,"RTO")</f>
        <v>0</v>
      </c>
      <c r="F58" s="10">
        <f t="shared" si="19"/>
        <v>0</v>
      </c>
    </row>
    <row r="59" spans="1:6" x14ac:dyDescent="0.25">
      <c r="A59" t="s">
        <v>346</v>
      </c>
      <c r="B59">
        <f>COUNTIFS('Cats - 2025'!$D:$D,"0-6 months",'Cats - 2025'!$E:$E,"&gt;=09/01/2025",'Cats - 2025'!$E:$E,"&lt;=9/30/2025",'Cats - 2025'!$J:$J,"RTO")</f>
        <v>0</v>
      </c>
      <c r="C59">
        <f>COUNTIFS('Cats - 2025'!$D:$D,"6-12 months",'Cats - 2025'!$E:$E,"&gt;=09/01/2025",'Cats - 2025'!$E:$E,"&lt;=9/30/2025",'Cats - 2025'!$J:$J,"RTO")</f>
        <v>0</v>
      </c>
      <c r="D59">
        <f>COUNTIFS('Cats - 2025'!$D:$D,"Adult",'Cats - 2025'!$E:$E,"&gt;=09/01/2025",'Cats - 2025'!$E:$E,"&lt;=9/30/2025",'Cats - 2025'!$J:$J,"RTO")</f>
        <v>0</v>
      </c>
      <c r="E59">
        <f>COUNTIFS('Cats - 2025'!$D:$D,"Senior",'Cats - 2025'!$E:$E,"&gt;=09/01/2025",'Cats - 2025'!$E:$E,"&lt;=9/30/2025",'Cats - 2025'!$J:$J,"RTO")</f>
        <v>0</v>
      </c>
      <c r="F59" s="10">
        <f t="shared" si="19"/>
        <v>0</v>
      </c>
    </row>
    <row r="60" spans="1:6" x14ac:dyDescent="0.25">
      <c r="A60" t="s">
        <v>347</v>
      </c>
      <c r="B60">
        <f>COUNTIFS('Cats - 2025'!$D:$D,"0-6 months",'Cats - 2025'!$E:$E,"&gt;=10/01/2025",'Cats - 2025'!$E:$E,"&lt;=10/31/2025",'Cats - 2025'!$J:$J,"RTO")</f>
        <v>0</v>
      </c>
      <c r="C60">
        <f>COUNTIFS('Cats - 2025'!$D:$D,"6-12 months",'Cats - 2025'!$E:$E,"&gt;=10/01/2025",'Cats - 2025'!$E:$E,"&lt;=10/31/2025",'Cats - 2025'!$J:$J,"RTO")</f>
        <v>0</v>
      </c>
      <c r="D60">
        <f>COUNTIFS('Cats - 2025'!$D:$D,"Adult",'Cats - 2025'!$E:$E,"&gt;=10/01/2025",'Cats - 2025'!$E:$E,"&lt;=10/31/2025",'Cats - 2025'!$J:$J,"RTO")</f>
        <v>0</v>
      </c>
      <c r="E60">
        <f>COUNTIFS('Cats - 2025'!$D:$D,"Senior",'Cats - 2025'!$E:$E,"&gt;=10/01/2025",'Cats - 2025'!$E:$E,"&lt;=10/31/2025",'Cats - 2025'!$J:$J,"RTO")</f>
        <v>0</v>
      </c>
      <c r="F60" s="10">
        <f t="shared" si="19"/>
        <v>0</v>
      </c>
    </row>
    <row r="61" spans="1:6" x14ac:dyDescent="0.25">
      <c r="A61" t="s">
        <v>348</v>
      </c>
      <c r="B61">
        <f>COUNTIFS('Cats - 2025'!$D:$D,"0-6 months",'Cats - 2025'!$E:$E,"&gt;=11/01/2025",'Cats - 2025'!$E:$E,"&lt;=11/30/2025",'Cats - 2025'!$J:$J,"RTO")</f>
        <v>0</v>
      </c>
      <c r="C61">
        <f>COUNTIFS('Cats - 2025'!$D:$D,"6-12 months",'Cats - 2025'!$E:$E,"&gt;=11/01/2025",'Cats - 2025'!$E:$E,"&lt;=11/30/2025",'Cats - 2025'!$J:$J,"RTO")</f>
        <v>0</v>
      </c>
      <c r="D61">
        <f>COUNTIFS('Cats - 2025'!$D:$D,"Adult",'Cats - 2025'!$E:$E,"&gt;=11/01/2025",'Cats - 2025'!$E:$E,"&lt;=11/30/2025",'Cats - 2025'!$J:$J,"RTO")</f>
        <v>0</v>
      </c>
      <c r="E61">
        <f>COUNTIFS('Cats - 2025'!$D:$D,"Senior",'Cats - 2025'!$E:$E,"&gt;=11/01/2025",'Cats - 2025'!$E:$E,"&lt;=11/30/2025",'Cats - 2025'!$J:$J,"RTO")</f>
        <v>0</v>
      </c>
      <c r="F61" s="10">
        <f t="shared" si="19"/>
        <v>0</v>
      </c>
    </row>
    <row r="62" spans="1:6" x14ac:dyDescent="0.25">
      <c r="A62" t="s">
        <v>349</v>
      </c>
      <c r="B62">
        <f>COUNTIFS('Cats - 2025'!$D:$D,"0-6 months",'Cats - 2025'!$E:$E,"&gt;=12/01/2025",'Cats - 2025'!$E:$E,"&lt;=12/31/2025",'Cats - 2025'!$J:$J,"RTO")</f>
        <v>0</v>
      </c>
      <c r="C62">
        <f>COUNTIFS('Cats - 2025'!$D:$D,"6-12 months",'Cats - 2025'!$E:$E,"&gt;=12/01/2025",'Cats - 2025'!$E:$E,"&lt;=12/31/2025",'Cats - 2025'!$J:$J,"RTO")</f>
        <v>0</v>
      </c>
      <c r="D62">
        <f>COUNTIFS('Cats - 2025'!$D:$D,"Adult",'Cats - 2025'!$E:$E,"&gt;=12/01/2025",'Cats - 2025'!$E:$E,"&lt;=12/31/2025",'Cats - 2025'!$J:$J,"RTO")</f>
        <v>0</v>
      </c>
      <c r="E62">
        <f>COUNTIFS('Cats - 2025'!$D:$D,"Senior",'Cats - 2025'!$E:$E,"&gt;=12/01/2025",'Cats - 2025'!$E:$E,"&lt;=12/31/2025",'Cats - 2025'!$J:$J,"RTO")</f>
        <v>0</v>
      </c>
      <c r="F62" s="10">
        <f t="shared" si="19"/>
        <v>0</v>
      </c>
    </row>
    <row r="63" spans="1:6" x14ac:dyDescent="0.25">
      <c r="A63" s="13"/>
      <c r="B63" s="13">
        <f>SUM(B51:B62)</f>
        <v>1</v>
      </c>
      <c r="C63" s="13">
        <f t="shared" ref="C63" si="20">SUM(C51:C62)</f>
        <v>0</v>
      </c>
      <c r="D63" s="13">
        <f t="shared" ref="D63" si="21">SUM(D51:D62)</f>
        <v>7</v>
      </c>
      <c r="E63" s="13">
        <f t="shared" ref="E63" si="22">SUM(E51:E62)</f>
        <v>1</v>
      </c>
      <c r="F63" s="13">
        <f t="shared" ref="F63" si="23">SUM(F51:F62)</f>
        <v>9</v>
      </c>
    </row>
  </sheetData>
  <mergeCells count="8">
    <mergeCell ref="A49:E49"/>
    <mergeCell ref="M1:N1"/>
    <mergeCell ref="A1:E1"/>
    <mergeCell ref="H1:L1"/>
    <mergeCell ref="H17:L17"/>
    <mergeCell ref="A17:E17"/>
    <mergeCell ref="A33:E33"/>
    <mergeCell ref="H33:L33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89E7C-A39F-8947-B703-2ED62A2C0101}">
  <sheetPr>
    <tabColor theme="4" tint="0.59999389629810485"/>
  </sheetPr>
  <dimension ref="A1:T868"/>
  <sheetViews>
    <sheetView tabSelected="1" zoomScale="110" zoomScaleNormal="110" workbookViewId="0">
      <pane xSplit="1" ySplit="2" topLeftCell="B561" activePane="bottomRight" state="frozen"/>
      <selection pane="topRight" activeCell="B1" sqref="B1"/>
      <selection pane="bottomLeft" activeCell="A3" sqref="A3"/>
      <selection pane="bottomRight" activeCell="L576" sqref="L576"/>
    </sheetView>
  </sheetViews>
  <sheetFormatPr defaultColWidth="11" defaultRowHeight="15.75" x14ac:dyDescent="0.25"/>
  <cols>
    <col min="1" max="1" width="12.625" style="1" customWidth="1"/>
    <col min="2" max="2" width="21" style="2" customWidth="1"/>
    <col min="3" max="3" width="19.625" customWidth="1"/>
    <col min="4" max="4" width="24.625" customWidth="1"/>
    <col min="5" max="5" width="13.5" style="2" customWidth="1"/>
    <col min="6" max="6" width="12.5" style="2" customWidth="1"/>
    <col min="7" max="7" width="14.125" style="2" customWidth="1"/>
    <col min="8" max="8" width="13.5" style="6" customWidth="1"/>
    <col min="9" max="9" width="16.875" style="6" customWidth="1"/>
    <col min="10" max="10" width="19.125" customWidth="1"/>
    <col min="11" max="11" width="15.5" customWidth="1"/>
    <col min="12" max="12" width="16.625" customWidth="1"/>
    <col min="14" max="14" width="3.625" customWidth="1"/>
    <col min="15" max="15" width="19.125" customWidth="1"/>
    <col min="17" max="17" width="6.5" customWidth="1"/>
    <col min="18" max="18" width="6.375" customWidth="1"/>
    <col min="20" max="20" width="13.875" customWidth="1"/>
  </cols>
  <sheetData>
    <row r="1" spans="1:20" x14ac:dyDescent="0.25">
      <c r="A1" s="32" t="s">
        <v>6</v>
      </c>
      <c r="B1" s="34" t="s">
        <v>43</v>
      </c>
      <c r="C1" s="32" t="s">
        <v>1</v>
      </c>
      <c r="D1" s="8"/>
      <c r="E1" s="34" t="s">
        <v>2</v>
      </c>
      <c r="F1" s="34" t="s">
        <v>177</v>
      </c>
      <c r="G1" s="34" t="s">
        <v>3</v>
      </c>
      <c r="H1" s="31" t="s">
        <v>179</v>
      </c>
      <c r="I1" s="31"/>
      <c r="J1" s="32" t="s">
        <v>4</v>
      </c>
      <c r="K1" s="32" t="s">
        <v>12</v>
      </c>
      <c r="L1" s="33" t="s">
        <v>5</v>
      </c>
    </row>
    <row r="2" spans="1:20" x14ac:dyDescent="0.25">
      <c r="A2" s="32"/>
      <c r="B2" s="34"/>
      <c r="C2" s="32"/>
      <c r="D2" s="8" t="s">
        <v>0</v>
      </c>
      <c r="E2" s="34"/>
      <c r="F2" s="34"/>
      <c r="G2" s="34"/>
      <c r="H2" s="7" t="s">
        <v>202</v>
      </c>
      <c r="I2" s="7" t="s">
        <v>203</v>
      </c>
      <c r="J2" s="32"/>
      <c r="K2" s="32"/>
      <c r="L2" s="33"/>
    </row>
    <row r="3" spans="1:20" x14ac:dyDescent="0.25">
      <c r="A3" s="3">
        <v>39275</v>
      </c>
      <c r="B3" s="2" t="s">
        <v>180</v>
      </c>
      <c r="C3" t="s">
        <v>49</v>
      </c>
      <c r="D3" t="s">
        <v>208</v>
      </c>
      <c r="E3" s="2">
        <v>45640</v>
      </c>
      <c r="F3" s="2" cm="1">
        <f t="array" ref="F3">_xlfn.IFS(B3="Owner Surrender",E3,B3="Stray",E3+6,B3="Stray w/identification",E3+11,B3="Bite",E3+10,B3="Other",E3+30,B3="BAS",E3+56,B3="Seized",E3)</f>
        <v>45651</v>
      </c>
      <c r="G3" s="2">
        <v>45674</v>
      </c>
      <c r="H3" s="6">
        <f t="shared" ref="H3:H66" si="0">+G3-E3</f>
        <v>34</v>
      </c>
      <c r="I3" s="6">
        <f t="shared" ref="I3:I66" si="1">G3-F3</f>
        <v>23</v>
      </c>
      <c r="J3" s="2" t="s">
        <v>8</v>
      </c>
      <c r="L3" t="s">
        <v>9</v>
      </c>
    </row>
    <row r="4" spans="1:20" ht="18.75" x14ac:dyDescent="0.3">
      <c r="A4" s="3">
        <v>39336</v>
      </c>
      <c r="B4" s="2" t="s">
        <v>180</v>
      </c>
      <c r="C4" t="s">
        <v>109</v>
      </c>
      <c r="D4" t="s">
        <v>208</v>
      </c>
      <c r="E4" s="2">
        <v>45649</v>
      </c>
      <c r="F4" s="2" cm="1">
        <f t="array" ref="F4">_xlfn.IFS(B4="Owner Surrender",E4,B4="Stray",E4+6,B4="Stray w/identification",E4+11,B4="Bite",E4+10,B4="Other",E4+30,B4="BAS",E4+56,B4="Seized",E4)</f>
        <v>45660</v>
      </c>
      <c r="G4" s="2">
        <v>45659</v>
      </c>
      <c r="H4" s="6">
        <f t="shared" si="0"/>
        <v>10</v>
      </c>
      <c r="I4" s="6">
        <f t="shared" si="1"/>
        <v>-1</v>
      </c>
      <c r="J4" s="2" t="s">
        <v>8</v>
      </c>
      <c r="N4" s="11" t="s">
        <v>11</v>
      </c>
      <c r="O4" s="11"/>
      <c r="P4" s="11">
        <f>SUM(P5:P9)</f>
        <v>104</v>
      </c>
      <c r="Q4" s="12"/>
      <c r="R4" s="11" t="s">
        <v>11</v>
      </c>
      <c r="S4" s="11"/>
      <c r="T4" s="11"/>
    </row>
    <row r="5" spans="1:20" x14ac:dyDescent="0.25">
      <c r="A5" s="3">
        <v>39409</v>
      </c>
      <c r="B5" s="2" t="s">
        <v>180</v>
      </c>
      <c r="C5" t="s">
        <v>50</v>
      </c>
      <c r="D5" t="s">
        <v>208</v>
      </c>
      <c r="E5" s="2">
        <v>45657</v>
      </c>
      <c r="F5" s="2" cm="1">
        <f t="array" ref="F5">_xlfn.IFS(B5="Owner Surrender",E5,B5="Stray",E5+6,B5="Stray w/identification",E5+11,B5="Bite",E5+10,B5="Other",E5+30,B5="BAS",E5+56,B5="Seized",E5)</f>
        <v>45668</v>
      </c>
      <c r="G5" s="2">
        <v>45659</v>
      </c>
      <c r="H5" s="6">
        <f t="shared" si="0"/>
        <v>2</v>
      </c>
      <c r="I5" s="6">
        <f t="shared" si="1"/>
        <v>-9</v>
      </c>
      <c r="J5" s="2" t="s">
        <v>8</v>
      </c>
      <c r="O5" s="10" t="s">
        <v>36</v>
      </c>
      <c r="P5" s="10">
        <f>COUNTIFS($J:$J,"Adopted",$B:$B,"Owner Surrender")</f>
        <v>49</v>
      </c>
      <c r="S5" s="10" t="s">
        <v>209</v>
      </c>
      <c r="T5" s="10">
        <f>COUNTIFS(J:J,"Adopted",D:D,"0-6 months")</f>
        <v>54</v>
      </c>
    </row>
    <row r="6" spans="1:20" x14ac:dyDescent="0.25">
      <c r="A6" s="3">
        <v>39411</v>
      </c>
      <c r="B6" s="2" t="s">
        <v>180</v>
      </c>
      <c r="C6" t="s">
        <v>108</v>
      </c>
      <c r="D6" t="s">
        <v>208</v>
      </c>
      <c r="E6" s="2">
        <v>45657</v>
      </c>
      <c r="F6" s="2" cm="1">
        <f t="array" ref="F6">_xlfn.IFS(B6="Owner Surrender",E6,B6="Stray",E6+6,B6="Stray w/identification",E6+11,B6="Bite",E6+10,B6="Other",E6+30,B6="BAS",E6+56,B6="Seized",E6)</f>
        <v>45668</v>
      </c>
      <c r="G6" s="2">
        <v>45659</v>
      </c>
      <c r="H6" s="6">
        <f t="shared" si="0"/>
        <v>2</v>
      </c>
      <c r="I6" s="6">
        <f t="shared" si="1"/>
        <v>-9</v>
      </c>
      <c r="J6" s="2" t="s">
        <v>8</v>
      </c>
      <c r="O6" s="10" t="s">
        <v>38</v>
      </c>
      <c r="P6" s="10">
        <f>COUNTIFS($J:$J,"Adopted",$B:$B,"Stray")</f>
        <v>49</v>
      </c>
      <c r="S6" s="10" t="s">
        <v>210</v>
      </c>
      <c r="T6" s="10">
        <f>COUNTIFS(J:J,"Adopted",D:D,"6-12 months")</f>
        <v>13</v>
      </c>
    </row>
    <row r="7" spans="1:20" x14ac:dyDescent="0.25">
      <c r="A7" s="3">
        <v>39412</v>
      </c>
      <c r="B7" s="2" t="s">
        <v>36</v>
      </c>
      <c r="C7" t="s">
        <v>245</v>
      </c>
      <c r="D7" t="s">
        <v>208</v>
      </c>
      <c r="E7" s="2">
        <v>45658</v>
      </c>
      <c r="F7" s="2" cm="1">
        <f t="array" ref="F7">_xlfn.IFS(B7="Owner Surrender",E7,B7="Stray",E7+6,B7="Stray w/identification",E7+11,B7="Bite",E7+10,B7="Other",E7+30,B7="BAS",E7+56,B7="Seized",E7)</f>
        <v>45658</v>
      </c>
      <c r="G7" s="2">
        <v>45667</v>
      </c>
      <c r="H7" s="6">
        <f t="shared" si="0"/>
        <v>9</v>
      </c>
      <c r="I7" s="6">
        <f t="shared" si="1"/>
        <v>9</v>
      </c>
      <c r="J7" s="2" t="s">
        <v>31</v>
      </c>
      <c r="K7" t="s">
        <v>13</v>
      </c>
      <c r="L7" t="s">
        <v>419</v>
      </c>
      <c r="O7" s="10" t="s">
        <v>53</v>
      </c>
      <c r="P7" s="10">
        <f>COUNTIFS($J:$J,"Adopted",$B:$B,"Seized")</f>
        <v>4</v>
      </c>
      <c r="S7" s="10" t="s">
        <v>208</v>
      </c>
      <c r="T7" s="10">
        <f>COUNTIFS(J:J,"Adopted",D:D,"Adult")</f>
        <v>43</v>
      </c>
    </row>
    <row r="8" spans="1:20" x14ac:dyDescent="0.25">
      <c r="A8" s="3">
        <v>39413</v>
      </c>
      <c r="B8" s="2" t="s">
        <v>36</v>
      </c>
      <c r="C8" t="s">
        <v>245</v>
      </c>
      <c r="D8" t="s">
        <v>209</v>
      </c>
      <c r="E8" s="2">
        <v>45658</v>
      </c>
      <c r="F8" s="2" cm="1">
        <f t="array" ref="F8">_xlfn.IFS(B8="Owner Surrender",E8,B8="Stray",E8+6,B8="Stray w/identification",E8+11,B8="Bite",E8+10,B8="Other",E8+30,B8="BAS",E8+56,B8="Seized",E8)</f>
        <v>45658</v>
      </c>
      <c r="G8" s="2">
        <v>45679</v>
      </c>
      <c r="H8" s="6">
        <f t="shared" si="0"/>
        <v>21</v>
      </c>
      <c r="I8" s="6">
        <f t="shared" si="1"/>
        <v>21</v>
      </c>
      <c r="J8" s="2" t="s">
        <v>18</v>
      </c>
      <c r="K8" t="s">
        <v>418</v>
      </c>
      <c r="O8" s="10" t="s">
        <v>61</v>
      </c>
      <c r="P8" s="10">
        <f>COUNTIFS($J:$J,"Adopted",$B:$B,"Other")</f>
        <v>1</v>
      </c>
      <c r="S8" s="10" t="s">
        <v>211</v>
      </c>
      <c r="T8" s="10">
        <f>COUNTIFS(J:J,"Adopted",D:D,"Senior")</f>
        <v>0</v>
      </c>
    </row>
    <row r="9" spans="1:20" ht="18.75" x14ac:dyDescent="0.3">
      <c r="A9" s="3">
        <v>39414</v>
      </c>
      <c r="B9" s="2" t="s">
        <v>36</v>
      </c>
      <c r="C9" t="s">
        <v>245</v>
      </c>
      <c r="D9" t="s">
        <v>209</v>
      </c>
      <c r="E9" s="2">
        <v>45658</v>
      </c>
      <c r="F9" s="2" cm="1">
        <f t="array" ref="F9">_xlfn.IFS(B9="Owner Surrender",E9,B9="Stray",E9+6,B9="Stray w/identification",E9+11,B9="Bite",E9+10,B9="Other",E9+30,B9="BAS",E9+56,B9="Seized",E9)</f>
        <v>45658</v>
      </c>
      <c r="G9" s="2">
        <v>45679</v>
      </c>
      <c r="H9" s="6">
        <f t="shared" si="0"/>
        <v>21</v>
      </c>
      <c r="I9" s="6">
        <f t="shared" si="1"/>
        <v>21</v>
      </c>
      <c r="J9" s="2" t="s">
        <v>18</v>
      </c>
      <c r="O9" s="10" t="s">
        <v>205</v>
      </c>
      <c r="P9" s="10">
        <f>COUNTIFS($J:$J,"Adopted",$B:$B,"BAS")</f>
        <v>1</v>
      </c>
      <c r="R9" s="11" t="s">
        <v>18</v>
      </c>
      <c r="S9" s="11"/>
      <c r="T9" s="11"/>
    </row>
    <row r="10" spans="1:20" ht="18.75" x14ac:dyDescent="0.3">
      <c r="A10" s="3">
        <v>39415</v>
      </c>
      <c r="B10" s="2" t="s">
        <v>36</v>
      </c>
      <c r="C10" t="s">
        <v>245</v>
      </c>
      <c r="D10" t="s">
        <v>209</v>
      </c>
      <c r="E10" s="2">
        <v>45658</v>
      </c>
      <c r="F10" s="2" cm="1">
        <f t="array" ref="F10">_xlfn.IFS(B10="Owner Surrender",E10,B10="Stray",E10+6,B10="Stray w/identification",E10+11,B10="Bite",E10+10,B10="Other",E10+30,B10="BAS",E10+56,B10="Seized",E10)</f>
        <v>45658</v>
      </c>
      <c r="G10" s="2">
        <v>45778</v>
      </c>
      <c r="H10" s="6">
        <f t="shared" si="0"/>
        <v>120</v>
      </c>
      <c r="I10" s="6">
        <f t="shared" si="1"/>
        <v>120</v>
      </c>
      <c r="J10" s="2" t="s">
        <v>11</v>
      </c>
      <c r="K10" t="s">
        <v>13</v>
      </c>
      <c r="N10" s="11" t="s">
        <v>18</v>
      </c>
      <c r="O10" s="11"/>
      <c r="P10" s="11">
        <f>SUM(P11:P14)</f>
        <v>75</v>
      </c>
      <c r="S10" s="10" t="s">
        <v>209</v>
      </c>
      <c r="T10" s="10">
        <f>COUNTIFS(J:J,"Transferred",D:D,"0-6 months")</f>
        <v>28</v>
      </c>
    </row>
    <row r="11" spans="1:20" x14ac:dyDescent="0.25">
      <c r="A11" s="3">
        <v>39416</v>
      </c>
      <c r="B11" s="2" t="s">
        <v>180</v>
      </c>
      <c r="C11" t="s">
        <v>57</v>
      </c>
      <c r="D11" t="s">
        <v>208</v>
      </c>
      <c r="E11" s="2">
        <v>45658</v>
      </c>
      <c r="F11" s="2" cm="1">
        <f t="array" ref="F11">_xlfn.IFS(B11="Owner Surrender",E11,B11="Stray",E11+6,B11="Stray w/identification",E11+11,B11="Bite",E11+10,B11="Other",E11+30,B11="BAS",E11+56,B11="Seized",E11)</f>
        <v>45669</v>
      </c>
      <c r="G11" s="2">
        <v>45658</v>
      </c>
      <c r="H11" s="6">
        <f t="shared" si="0"/>
        <v>0</v>
      </c>
      <c r="I11" s="6">
        <f t="shared" si="1"/>
        <v>-11</v>
      </c>
      <c r="J11" s="2" t="s">
        <v>8</v>
      </c>
      <c r="O11" s="10" t="s">
        <v>36</v>
      </c>
      <c r="P11" s="10">
        <f>COUNTIFS(J:J,"Transferred",B:B,"Owner Surrender")</f>
        <v>44</v>
      </c>
      <c r="S11" s="22" t="s">
        <v>210</v>
      </c>
      <c r="T11" s="10">
        <f>COUNTIFS(J:J,"Transferred",D:D,"6-12 months")</f>
        <v>8</v>
      </c>
    </row>
    <row r="12" spans="1:20" x14ac:dyDescent="0.25">
      <c r="A12" s="3">
        <v>39421</v>
      </c>
      <c r="B12" s="2" t="s">
        <v>36</v>
      </c>
      <c r="C12" t="s">
        <v>73</v>
      </c>
      <c r="D12" t="s">
        <v>208</v>
      </c>
      <c r="E12" s="2">
        <v>45659</v>
      </c>
      <c r="F12" s="2" cm="1">
        <f t="array" ref="F12">_xlfn.IFS(B12="Owner Surrender",E12,B12="Stray",E12+6,B12="Stray w/identification",E12+11,B12="Bite",E12+10,B12="Other",E12+30,B12="BAS",E12+56,B12="Seized",E12)</f>
        <v>45659</v>
      </c>
      <c r="G12" s="2">
        <v>45680</v>
      </c>
      <c r="H12" s="6">
        <f t="shared" si="0"/>
        <v>21</v>
      </c>
      <c r="I12" s="6">
        <f t="shared" si="1"/>
        <v>21</v>
      </c>
      <c r="J12" s="2" t="s">
        <v>31</v>
      </c>
      <c r="K12" t="s">
        <v>279</v>
      </c>
      <c r="O12" s="10" t="s">
        <v>38</v>
      </c>
      <c r="P12" s="10">
        <f>COUNTIFS(J:J,"Transferred",B:B,"Stray")</f>
        <v>24</v>
      </c>
      <c r="S12" s="10" t="s">
        <v>208</v>
      </c>
      <c r="T12" s="10">
        <f>COUNTIFS(J:J,"Transferred",D:D,"Adult")</f>
        <v>46</v>
      </c>
    </row>
    <row r="13" spans="1:20" x14ac:dyDescent="0.25">
      <c r="A13" s="3">
        <v>39422</v>
      </c>
      <c r="B13" s="2" t="s">
        <v>36</v>
      </c>
      <c r="C13" t="s">
        <v>50</v>
      </c>
      <c r="D13" t="s">
        <v>208</v>
      </c>
      <c r="E13" s="2">
        <v>45659</v>
      </c>
      <c r="F13" s="2" cm="1">
        <f t="array" ref="F13">_xlfn.IFS(B13="Owner Surrender",E13,B13="Stray",E13+6,B13="Stray w/identification",E13+11,B13="Bite",E13+10,B13="Other",E13+30,B13="BAS",E13+56,B13="Seized",E13)</f>
        <v>45659</v>
      </c>
      <c r="G13" s="2">
        <v>45664</v>
      </c>
      <c r="H13" s="6">
        <f t="shared" si="0"/>
        <v>5</v>
      </c>
      <c r="I13" s="6">
        <f t="shared" si="1"/>
        <v>5</v>
      </c>
      <c r="J13" s="2" t="s">
        <v>31</v>
      </c>
      <c r="K13" t="s">
        <v>262</v>
      </c>
      <c r="O13" s="10" t="s">
        <v>53</v>
      </c>
      <c r="P13" s="10">
        <f>COUNTIFS(J:J,"Transferred",B:B,"Seized")</f>
        <v>3</v>
      </c>
      <c r="S13" s="10" t="s">
        <v>211</v>
      </c>
      <c r="T13" s="10">
        <f>COUNTIFS(J:J,"Transferred",D:D,"Senior")</f>
        <v>0</v>
      </c>
    </row>
    <row r="14" spans="1:20" ht="18.75" x14ac:dyDescent="0.3">
      <c r="A14" s="3">
        <v>39424</v>
      </c>
      <c r="B14" s="2" t="s">
        <v>36</v>
      </c>
      <c r="C14" t="s">
        <v>50</v>
      </c>
      <c r="D14" t="s">
        <v>208</v>
      </c>
      <c r="E14" s="2">
        <v>45660</v>
      </c>
      <c r="F14" s="2" cm="1">
        <f t="array" ref="F14">_xlfn.IFS(B14="Owner Surrender",E14,B14="Stray",E14+6,B14="Stray w/identification",E14+11,B14="Bite",E14+10,B14="Other",E14+30,B14="BAS",E14+56,B14="Seized",E14)</f>
        <v>45660</v>
      </c>
      <c r="G14" s="2">
        <v>45667</v>
      </c>
      <c r="H14" s="6">
        <f t="shared" si="0"/>
        <v>7</v>
      </c>
      <c r="I14" s="6">
        <f t="shared" si="1"/>
        <v>7</v>
      </c>
      <c r="J14" s="2" t="s">
        <v>31</v>
      </c>
      <c r="K14" t="s">
        <v>278</v>
      </c>
      <c r="L14" s="2"/>
      <c r="O14" s="10" t="s">
        <v>205</v>
      </c>
      <c r="P14" s="10">
        <f>COUNTIFS(J:J,"Transferred",B:B,"BAS")</f>
        <v>4</v>
      </c>
      <c r="R14" s="11" t="s">
        <v>31</v>
      </c>
      <c r="S14" s="11"/>
      <c r="T14" s="11"/>
    </row>
    <row r="15" spans="1:20" x14ac:dyDescent="0.25">
      <c r="A15" s="1">
        <v>39425</v>
      </c>
      <c r="B15" s="2" t="s">
        <v>36</v>
      </c>
      <c r="C15" t="s">
        <v>63</v>
      </c>
      <c r="D15" t="s">
        <v>208</v>
      </c>
      <c r="E15" s="2">
        <v>45660</v>
      </c>
      <c r="F15" s="2" cm="1">
        <f t="array" ref="F15">_xlfn.IFS(B15="Owner Surrender",E15,B15="Stray",E15+6,B15="Stray w/identification",E15+11,B15="Bite",E15+10,B15="Other",E15+30,B15="BAS",E15+56,B15="Seized",E15)</f>
        <v>45660</v>
      </c>
      <c r="G15" s="2">
        <v>45664</v>
      </c>
      <c r="H15" s="6">
        <f t="shared" si="0"/>
        <v>4</v>
      </c>
      <c r="I15" s="6">
        <f t="shared" si="1"/>
        <v>4</v>
      </c>
      <c r="J15" s="2" t="s">
        <v>31</v>
      </c>
      <c r="K15" t="s">
        <v>277</v>
      </c>
      <c r="O15" s="10" t="s">
        <v>36</v>
      </c>
      <c r="P15" s="10">
        <f>COUNTIFS(J:J,"Transferred",B:B,"Owner Surrender")</f>
        <v>44</v>
      </c>
      <c r="S15" s="10" t="s">
        <v>209</v>
      </c>
      <c r="T15" s="10">
        <f>COUNTIFS(J:J,"Euthanized",D:D,"0-6 months")</f>
        <v>170</v>
      </c>
    </row>
    <row r="16" spans="1:20" x14ac:dyDescent="0.25">
      <c r="A16" s="3">
        <v>39426</v>
      </c>
      <c r="B16" s="2" t="s">
        <v>36</v>
      </c>
      <c r="C16" t="s">
        <v>76</v>
      </c>
      <c r="D16" t="s">
        <v>208</v>
      </c>
      <c r="E16" s="2">
        <v>45660</v>
      </c>
      <c r="F16" s="2" cm="1">
        <f t="array" ref="F16">_xlfn.IFS(B16="Owner Surrender",E16,B16="Stray",E16+6,B16="Stray w/identification",E16+11,B16="Bite",E16+10,B16="Other",E16+30,B16="BAS",E16+56,B16="Seized",E16)</f>
        <v>45660</v>
      </c>
      <c r="G16" s="2">
        <v>45664</v>
      </c>
      <c r="H16" s="6">
        <f t="shared" si="0"/>
        <v>4</v>
      </c>
      <c r="I16" s="6">
        <f t="shared" si="1"/>
        <v>4</v>
      </c>
      <c r="J16" s="2" t="s">
        <v>31</v>
      </c>
      <c r="K16" t="s">
        <v>276</v>
      </c>
      <c r="L16" s="2"/>
      <c r="O16" s="10" t="s">
        <v>38</v>
      </c>
      <c r="P16" s="10">
        <f>COUNTIFS(J:J,"Transferred",B:B,"Stray")</f>
        <v>24</v>
      </c>
      <c r="S16" s="10" t="s">
        <v>210</v>
      </c>
      <c r="T16" s="10">
        <f>COUNTIFS(J:J,"Euthanized",D:D,"6-12 months")</f>
        <v>39</v>
      </c>
    </row>
    <row r="17" spans="1:20" x14ac:dyDescent="0.25">
      <c r="A17" s="3">
        <v>39427</v>
      </c>
      <c r="B17" s="2" t="s">
        <v>36</v>
      </c>
      <c r="C17" t="s">
        <v>76</v>
      </c>
      <c r="D17" t="s">
        <v>208</v>
      </c>
      <c r="E17" s="2">
        <v>45660</v>
      </c>
      <c r="F17" s="2" cm="1">
        <f t="array" ref="F17">_xlfn.IFS(B17="Owner Surrender",E17,B17="Stray",E17+6,B17="Stray w/identification",E17+11,B17="Bite",E17+10,B17="Other",E17+30,B17="BAS",E17+56,B17="Seized",E17)</f>
        <v>45660</v>
      </c>
      <c r="G17" s="2">
        <v>45664</v>
      </c>
      <c r="H17" s="6">
        <f t="shared" si="0"/>
        <v>4</v>
      </c>
      <c r="I17" s="6">
        <f t="shared" si="1"/>
        <v>4</v>
      </c>
      <c r="J17" s="2" t="s">
        <v>31</v>
      </c>
      <c r="L17" t="s">
        <v>275</v>
      </c>
      <c r="O17" s="10" t="s">
        <v>53</v>
      </c>
      <c r="P17" s="10">
        <f>COUNTIFS(J:J,"Transferred",B:B,"Seized")</f>
        <v>3</v>
      </c>
      <c r="S17" s="10" t="s">
        <v>208</v>
      </c>
      <c r="T17" s="10">
        <f>COUNTIFS(J:J,"Euthanized",D:D,"Adult")</f>
        <v>265</v>
      </c>
    </row>
    <row r="18" spans="1:20" x14ac:dyDescent="0.25">
      <c r="A18" s="3">
        <v>39428</v>
      </c>
      <c r="B18" s="2" t="s">
        <v>38</v>
      </c>
      <c r="C18" t="s">
        <v>72</v>
      </c>
      <c r="D18" t="s">
        <v>208</v>
      </c>
      <c r="E18" s="2">
        <v>45660</v>
      </c>
      <c r="F18" s="2" cm="1">
        <f t="array" ref="F18">_xlfn.IFS(B18="Owner Surrender",E18,B18="Stray",E18+6,B18="Stray w/identification",E18+11,B18="Bite",E18+10,B18="Other",E18+30,B18="BAS",E18+56,B18="Seized",E18)</f>
        <v>45666</v>
      </c>
      <c r="G18" s="2">
        <v>45674</v>
      </c>
      <c r="H18" s="6">
        <f t="shared" si="0"/>
        <v>14</v>
      </c>
      <c r="I18" s="6">
        <f t="shared" si="1"/>
        <v>8</v>
      </c>
      <c r="J18" s="2" t="s">
        <v>11</v>
      </c>
      <c r="K18" s="2"/>
      <c r="L18" s="2"/>
      <c r="O18" s="10" t="s">
        <v>205</v>
      </c>
      <c r="P18" s="10">
        <f>COUNTIFS(J:J,"Transferred",B:B,"BAS")</f>
        <v>4</v>
      </c>
      <c r="S18" s="10" t="s">
        <v>211</v>
      </c>
      <c r="T18" s="10">
        <f>COUNTIFS(J:J,"Euthanized",D:D,"Senior")</f>
        <v>18</v>
      </c>
    </row>
    <row r="19" spans="1:20" ht="18.75" x14ac:dyDescent="0.3">
      <c r="A19" s="1">
        <v>39430</v>
      </c>
      <c r="B19" s="2" t="s">
        <v>180</v>
      </c>
      <c r="C19" t="s">
        <v>52</v>
      </c>
      <c r="D19" t="s">
        <v>208</v>
      </c>
      <c r="E19" s="2">
        <v>45660</v>
      </c>
      <c r="F19" s="2" cm="1">
        <f t="array" ref="F19">_xlfn.IFS(B19="Owner Surrender",E19,B19="Stray",E19+6,B19="Stray w/identification",E19+11,B19="Bite",E19+10,B19="Other",E19+30,B19="BAS",E19+56,B19="Seized",E19)</f>
        <v>45671</v>
      </c>
      <c r="G19" s="2">
        <v>45660</v>
      </c>
      <c r="H19" s="6">
        <f t="shared" si="0"/>
        <v>0</v>
      </c>
      <c r="I19" s="6">
        <f t="shared" si="1"/>
        <v>-11</v>
      </c>
      <c r="J19" s="2" t="s">
        <v>8</v>
      </c>
      <c r="O19" s="10" t="s">
        <v>42</v>
      </c>
      <c r="P19" s="10">
        <f>COUNTIFS(J:J,"Transferred",B:B,"Bite")</f>
        <v>0</v>
      </c>
      <c r="R19" s="11" t="s">
        <v>206</v>
      </c>
      <c r="S19" s="11"/>
      <c r="T19" s="11"/>
    </row>
    <row r="20" spans="1:20" ht="18.75" x14ac:dyDescent="0.3">
      <c r="A20" s="3">
        <v>39431</v>
      </c>
      <c r="B20" s="2" t="s">
        <v>38</v>
      </c>
      <c r="C20" t="s">
        <v>56</v>
      </c>
      <c r="D20" t="s">
        <v>208</v>
      </c>
      <c r="E20" s="2">
        <v>45660</v>
      </c>
      <c r="F20" s="2" cm="1">
        <f t="array" ref="F20">_xlfn.IFS(B20="Owner Surrender",E20,B20="Stray",E20+6,B20="Stray w/identification",E20+11,B20="Bite",E20+10,B20="Other",E20+30,B20="BAS",E20+56,B20="Seized",E20)</f>
        <v>45666</v>
      </c>
      <c r="G20" s="2">
        <v>45677</v>
      </c>
      <c r="H20" s="6">
        <f t="shared" si="0"/>
        <v>17</v>
      </c>
      <c r="I20" s="6">
        <f t="shared" si="1"/>
        <v>11</v>
      </c>
      <c r="J20" s="2" t="s">
        <v>31</v>
      </c>
      <c r="L20" s="2"/>
      <c r="N20" s="11" t="s">
        <v>28</v>
      </c>
      <c r="O20" s="11"/>
      <c r="P20" s="11">
        <f>SUM(P21:P27)</f>
        <v>8</v>
      </c>
      <c r="S20" s="10" t="s">
        <v>209</v>
      </c>
      <c r="T20" s="10">
        <f>COUNTIFS(J:J,"RTO",D:D,"0-6 months")</f>
        <v>4</v>
      </c>
    </row>
    <row r="21" spans="1:20" x14ac:dyDescent="0.25">
      <c r="A21" s="3">
        <v>39432</v>
      </c>
      <c r="B21" s="2" t="s">
        <v>36</v>
      </c>
      <c r="C21" t="s">
        <v>247</v>
      </c>
      <c r="D21" t="s">
        <v>208</v>
      </c>
      <c r="E21" s="2">
        <v>45660</v>
      </c>
      <c r="F21" s="2" cm="1">
        <f t="array" ref="F21">_xlfn.IFS(B21="Owner Surrender",E21,B21="Stray",E21+6,B21="Stray w/identification",E21+11,B21="Bite",E21+10,B21="Other",E21+30,B21="BAS",E21+56,B21="Seized",E21)</f>
        <v>45660</v>
      </c>
      <c r="G21" s="2">
        <v>45672</v>
      </c>
      <c r="H21" s="6">
        <f t="shared" si="0"/>
        <v>12</v>
      </c>
      <c r="I21" s="6">
        <f t="shared" si="1"/>
        <v>12</v>
      </c>
      <c r="J21" s="2" t="s">
        <v>31</v>
      </c>
      <c r="O21" s="10" t="s">
        <v>36</v>
      </c>
      <c r="P21" s="10">
        <f>COUNTIFS(J:J,"DOA",B:B,"Owner Surrender")</f>
        <v>4</v>
      </c>
      <c r="S21" s="10" t="s">
        <v>210</v>
      </c>
      <c r="T21" s="10">
        <f>COUNTIFS(J:J,"RTO",D:D,"6-12 months")</f>
        <v>2</v>
      </c>
    </row>
    <row r="22" spans="1:20" x14ac:dyDescent="0.25">
      <c r="A22" s="3">
        <v>39434</v>
      </c>
      <c r="B22" s="2" t="s">
        <v>180</v>
      </c>
      <c r="C22" t="s">
        <v>71</v>
      </c>
      <c r="D22" t="s">
        <v>208</v>
      </c>
      <c r="E22" s="2">
        <v>45661</v>
      </c>
      <c r="F22" s="2" cm="1">
        <f t="array" ref="F22">_xlfn.IFS(B22="Owner Surrender",E22,B22="Stray",E22+6,B22="Stray w/identification",E22+11,B22="Bite",E22+10,B22="Other",E22+30,B22="BAS",E22+56,B22="Seized",E22)</f>
        <v>45672</v>
      </c>
      <c r="G22" s="2">
        <v>45661</v>
      </c>
      <c r="H22" s="6">
        <f t="shared" si="0"/>
        <v>0</v>
      </c>
      <c r="I22" s="6">
        <f t="shared" si="1"/>
        <v>-11</v>
      </c>
      <c r="J22" s="2" t="s">
        <v>8</v>
      </c>
      <c r="K22" t="s">
        <v>420</v>
      </c>
      <c r="O22" s="10" t="s">
        <v>38</v>
      </c>
      <c r="P22" s="10">
        <f>COUNTIFS(J:J,"DOA",B:B,"Stray")</f>
        <v>1</v>
      </c>
      <c r="S22" s="10" t="s">
        <v>208</v>
      </c>
      <c r="T22" s="10">
        <f>COUNTIFS(J:J,"RTO",D:D,"Adult")</f>
        <v>107</v>
      </c>
    </row>
    <row r="23" spans="1:20" x14ac:dyDescent="0.25">
      <c r="A23" s="3">
        <v>39435</v>
      </c>
      <c r="B23" s="2" t="s">
        <v>36</v>
      </c>
      <c r="C23" t="s">
        <v>76</v>
      </c>
      <c r="D23" t="s">
        <v>209</v>
      </c>
      <c r="E23" s="2">
        <v>45661</v>
      </c>
      <c r="F23" s="2" cm="1">
        <f t="array" ref="F23">_xlfn.IFS(B23="Owner Surrender",E23,B23="Stray",E23+6,B23="Stray w/identification",E23+11,B23="Bite",E23+10,B23="Other",E23+30,B23="BAS",E23+56,B23="Seized",E23)</f>
        <v>45661</v>
      </c>
      <c r="G23" s="2">
        <v>45677</v>
      </c>
      <c r="H23" s="6">
        <f t="shared" si="0"/>
        <v>16</v>
      </c>
      <c r="I23" s="6">
        <f t="shared" si="1"/>
        <v>16</v>
      </c>
      <c r="J23" s="2" t="s">
        <v>31</v>
      </c>
      <c r="K23" t="s">
        <v>251</v>
      </c>
      <c r="L23" t="s">
        <v>280</v>
      </c>
      <c r="O23" s="10" t="s">
        <v>204</v>
      </c>
      <c r="P23" s="10">
        <f>COUNTIFS(J:J,"DOA",B:B,"Stray w/identification")</f>
        <v>1</v>
      </c>
      <c r="S23" s="10" t="s">
        <v>211</v>
      </c>
      <c r="T23" s="10">
        <f>COUNTIFS(J:J,"RTO",D:D,"Senior")</f>
        <v>6</v>
      </c>
    </row>
    <row r="24" spans="1:20" ht="18.75" x14ac:dyDescent="0.3">
      <c r="A24" s="3">
        <v>39438</v>
      </c>
      <c r="B24" s="2" t="s">
        <v>38</v>
      </c>
      <c r="C24" t="s">
        <v>90</v>
      </c>
      <c r="D24" t="s">
        <v>208</v>
      </c>
      <c r="E24" s="2">
        <v>45662</v>
      </c>
      <c r="F24" s="2" cm="1">
        <f t="array" ref="F24">_xlfn.IFS(B24="Owner Surrender",E24,B24="Stray",E24+6,B24="Stray w/identification",E24+11,B24="Bite",E24+10,B24="Other",E24+30,B24="BAS",E24+56,B24="Seized",E24)</f>
        <v>45668</v>
      </c>
      <c r="G24" s="2">
        <v>45685</v>
      </c>
      <c r="H24" s="6">
        <f t="shared" si="0"/>
        <v>23</v>
      </c>
      <c r="I24" s="6">
        <f t="shared" si="1"/>
        <v>17</v>
      </c>
      <c r="J24" s="2" t="s">
        <v>11</v>
      </c>
      <c r="O24" s="10" t="s">
        <v>53</v>
      </c>
      <c r="P24" s="10">
        <f>COUNTIFS(J:J,"DOA",B:B,"Seized")</f>
        <v>0</v>
      </c>
      <c r="R24" s="11" t="s">
        <v>207</v>
      </c>
      <c r="S24" s="11"/>
      <c r="T24" s="11"/>
    </row>
    <row r="25" spans="1:20" x14ac:dyDescent="0.25">
      <c r="A25" s="3">
        <v>39443</v>
      </c>
      <c r="B25" s="2" t="s">
        <v>36</v>
      </c>
      <c r="C25" t="s">
        <v>421</v>
      </c>
      <c r="D25" t="s">
        <v>208</v>
      </c>
      <c r="E25" s="2">
        <v>45661</v>
      </c>
      <c r="F25" s="2" cm="1">
        <f t="array" ref="F25">_xlfn.IFS(B25="Owner Surrender",E25,B25="Stray",E25+6,B25="Stray w/identification",E25+11,B25="Bite",E25+10,B25="Other",E25+30,B25="BAS",E25+56,B25="Seized",E25)</f>
        <v>45661</v>
      </c>
      <c r="G25" s="2">
        <v>45664</v>
      </c>
      <c r="H25" s="6">
        <f t="shared" si="0"/>
        <v>3</v>
      </c>
      <c r="I25" s="6">
        <f t="shared" si="1"/>
        <v>3</v>
      </c>
      <c r="J25" s="2" t="s">
        <v>18</v>
      </c>
      <c r="L25" t="s">
        <v>228</v>
      </c>
      <c r="O25" s="10" t="s">
        <v>61</v>
      </c>
      <c r="P25" s="10">
        <f>COUNTIFS(J:J,"DOA",B:B,"Other")</f>
        <v>0</v>
      </c>
      <c r="S25" s="10" t="s">
        <v>209</v>
      </c>
      <c r="T25" s="10">
        <f>COUNTIFS(J:J,"Shelter",D:D,"0-6 months")</f>
        <v>8</v>
      </c>
    </row>
    <row r="26" spans="1:20" x14ac:dyDescent="0.25">
      <c r="A26" s="3">
        <v>39444</v>
      </c>
      <c r="B26" s="2" t="s">
        <v>38</v>
      </c>
      <c r="C26" t="s">
        <v>422</v>
      </c>
      <c r="D26" t="s">
        <v>208</v>
      </c>
      <c r="E26" s="2">
        <v>45664</v>
      </c>
      <c r="F26" s="2" cm="1">
        <f t="array" ref="F26">_xlfn.IFS(B26="Owner Surrender",E26,B26="Stray",E26+6,B26="Stray w/identification",E26+11,B26="Bite",E26+10,B26="Other",E26+30,B26="BAS",E26+56,B26="Seized",E26)</f>
        <v>45670</v>
      </c>
      <c r="G26" s="2">
        <v>45665</v>
      </c>
      <c r="H26" s="6">
        <f t="shared" si="0"/>
        <v>1</v>
      </c>
      <c r="I26" s="6">
        <f t="shared" si="1"/>
        <v>-5</v>
      </c>
      <c r="J26" s="2" t="s">
        <v>18</v>
      </c>
      <c r="O26" s="10" t="s">
        <v>205</v>
      </c>
      <c r="P26" s="10">
        <f>COUNTIFS(J:J,"DOA",B:B,"BAS")</f>
        <v>2</v>
      </c>
      <c r="S26" s="10" t="s">
        <v>210</v>
      </c>
      <c r="T26" s="10">
        <f>COUNTIFS(J:J,"Shelter",D:D,"6-12 months")</f>
        <v>0</v>
      </c>
    </row>
    <row r="27" spans="1:20" x14ac:dyDescent="0.25">
      <c r="A27" s="3">
        <v>39447</v>
      </c>
      <c r="B27" s="2" t="s">
        <v>36</v>
      </c>
      <c r="C27" t="s">
        <v>73</v>
      </c>
      <c r="D27" t="s">
        <v>208</v>
      </c>
      <c r="E27" s="2">
        <v>45665</v>
      </c>
      <c r="F27" s="2" cm="1">
        <f t="array" ref="F27">_xlfn.IFS(B27="Owner Surrender",E27,B27="Stray",E27+6,B27="Stray w/identification",E27+11,B27="Bite",E27+10,B27="Other",E27+30,B27="BAS",E27+56,B27="Seized",E27)</f>
        <v>45665</v>
      </c>
      <c r="G27" s="2">
        <v>45677</v>
      </c>
      <c r="H27" s="6">
        <f t="shared" si="0"/>
        <v>12</v>
      </c>
      <c r="I27" s="6">
        <f t="shared" si="1"/>
        <v>12</v>
      </c>
      <c r="J27" s="2" t="s">
        <v>31</v>
      </c>
      <c r="L27" t="s">
        <v>274</v>
      </c>
      <c r="O27" s="10" t="s">
        <v>42</v>
      </c>
      <c r="P27" s="10">
        <f>COUNTIFS(J:J,"DOA",B:B,"Bite")</f>
        <v>0</v>
      </c>
      <c r="S27" s="10" t="s">
        <v>208</v>
      </c>
      <c r="T27" s="10">
        <f>COUNTIFS(J:J,"Shelter",D:D,"Adult")</f>
        <v>7</v>
      </c>
    </row>
    <row r="28" spans="1:20" ht="18.75" x14ac:dyDescent="0.3">
      <c r="A28" s="3">
        <v>39448</v>
      </c>
      <c r="B28" s="2" t="s">
        <v>38</v>
      </c>
      <c r="C28" t="s">
        <v>247</v>
      </c>
      <c r="D28" t="s">
        <v>209</v>
      </c>
      <c r="E28" s="2">
        <v>45665</v>
      </c>
      <c r="F28" s="2" cm="1">
        <f t="array" ref="F28">_xlfn.IFS(B28="Owner Surrender",E28,B28="Stray",E28+6,B28="Stray w/identification",E28+11,B28="Bite",E28+10,B28="Other",E28+30,B28="BAS",E28+56,B28="Seized",E28)</f>
        <v>45671</v>
      </c>
      <c r="G28" s="2">
        <v>45665</v>
      </c>
      <c r="H28" s="6">
        <f t="shared" si="0"/>
        <v>0</v>
      </c>
      <c r="I28" s="6">
        <f t="shared" si="1"/>
        <v>-6</v>
      </c>
      <c r="J28" s="2" t="s">
        <v>28</v>
      </c>
      <c r="N28" s="11" t="s">
        <v>206</v>
      </c>
      <c r="O28" s="11"/>
      <c r="P28" s="11">
        <f>SUM(P29:P35)</f>
        <v>119</v>
      </c>
      <c r="S28" s="10" t="s">
        <v>211</v>
      </c>
      <c r="T28" s="10">
        <f>COUNTIFS(J:J,"Shelter",D:D,"Senior")</f>
        <v>1</v>
      </c>
    </row>
    <row r="29" spans="1:20" x14ac:dyDescent="0.25">
      <c r="A29" s="3">
        <v>39449</v>
      </c>
      <c r="B29" s="2" t="s">
        <v>38</v>
      </c>
      <c r="C29" t="s">
        <v>247</v>
      </c>
      <c r="D29" t="s">
        <v>209</v>
      </c>
      <c r="E29" s="2">
        <v>45665</v>
      </c>
      <c r="F29" s="2" cm="1">
        <f t="array" ref="F29">_xlfn.IFS(B29="Owner Surrender",E29,B29="Stray",E29+6,B29="Stray w/identification",E29+11,B29="Bite",E29+10,B29="Other",E29+30,B29="BAS",E29+56,B29="Seized",E29)</f>
        <v>45671</v>
      </c>
      <c r="G29" s="2">
        <v>45672</v>
      </c>
      <c r="H29" s="6">
        <f t="shared" si="0"/>
        <v>7</v>
      </c>
      <c r="I29" s="6">
        <f t="shared" si="1"/>
        <v>1</v>
      </c>
      <c r="J29" s="2" t="s">
        <v>31</v>
      </c>
      <c r="O29" s="10" t="s">
        <v>36</v>
      </c>
      <c r="P29" s="10">
        <f>COUNTIFS(J:J,"RTO",B:B,"Owner Surrender")</f>
        <v>1</v>
      </c>
    </row>
    <row r="30" spans="1:20" ht="18.75" x14ac:dyDescent="0.3">
      <c r="A30" s="3">
        <v>39450</v>
      </c>
      <c r="B30" s="2" t="s">
        <v>38</v>
      </c>
      <c r="C30" t="s">
        <v>247</v>
      </c>
      <c r="D30" t="s">
        <v>209</v>
      </c>
      <c r="E30" s="2">
        <v>45665</v>
      </c>
      <c r="F30" s="2" cm="1">
        <f t="array" ref="F30">_xlfn.IFS(B30="Owner Surrender",E30,B30="Stray",E30+6,B30="Stray w/identification",E30+11,B30="Bite",E30+10,B30="Other",E30+30,B30="BAS",E30+56,B30="Seized",E30)</f>
        <v>45671</v>
      </c>
      <c r="G30" s="2">
        <v>45672</v>
      </c>
      <c r="H30" s="6">
        <f t="shared" si="0"/>
        <v>7</v>
      </c>
      <c r="I30" s="6">
        <f t="shared" si="1"/>
        <v>1</v>
      </c>
      <c r="J30" s="2" t="s">
        <v>31</v>
      </c>
      <c r="K30" s="2"/>
      <c r="N30" s="12"/>
      <c r="O30" s="10" t="s">
        <v>38</v>
      </c>
      <c r="P30" s="10">
        <f>COUNTIFS(J:J,"RTO",B:B,"Stray")</f>
        <v>40</v>
      </c>
    </row>
    <row r="31" spans="1:20" x14ac:dyDescent="0.25">
      <c r="A31" s="3">
        <v>39453</v>
      </c>
      <c r="B31" s="2" t="s">
        <v>53</v>
      </c>
      <c r="C31" t="s">
        <v>50</v>
      </c>
      <c r="D31" t="s">
        <v>208</v>
      </c>
      <c r="E31" s="2">
        <v>45666</v>
      </c>
      <c r="F31" s="2" cm="1">
        <f t="array" ref="F31">_xlfn.IFS(B31="Owner Surrender",E31,B31="Stray",E31+6,B31="Stray w/identification",E31+11,B31="Bite",E31+10,B31="Other",E31+30,B31="BAS",E31+56,B31="Seized",E31)</f>
        <v>45666</v>
      </c>
      <c r="G31" s="2">
        <v>45680</v>
      </c>
      <c r="H31" s="6">
        <f t="shared" si="0"/>
        <v>14</v>
      </c>
      <c r="I31" s="6">
        <f t="shared" si="1"/>
        <v>14</v>
      </c>
      <c r="J31" s="2" t="s">
        <v>31</v>
      </c>
      <c r="L31" t="s">
        <v>273</v>
      </c>
      <c r="O31" s="10" t="s">
        <v>204</v>
      </c>
      <c r="P31" s="10">
        <f>COUNTIFS(J:J,"RTO",B:B,"Stray w/identification")</f>
        <v>55</v>
      </c>
    </row>
    <row r="32" spans="1:20" x14ac:dyDescent="0.25">
      <c r="A32" s="3">
        <v>39454</v>
      </c>
      <c r="B32" s="2" t="s">
        <v>180</v>
      </c>
      <c r="C32" t="s">
        <v>57</v>
      </c>
      <c r="D32" t="s">
        <v>208</v>
      </c>
      <c r="E32" s="2">
        <v>45666</v>
      </c>
      <c r="F32" s="2" cm="1">
        <f t="array" ref="F32">_xlfn.IFS(B32="Owner Surrender",E32,B32="Stray",E32+6,B32="Stray w/identification",E32+11,B32="Bite",E32+10,B32="Other",E32+30,B32="BAS",E32+56,B32="Seized",E32)</f>
        <v>45677</v>
      </c>
      <c r="G32" s="2">
        <v>45680</v>
      </c>
      <c r="H32" s="6">
        <f t="shared" si="0"/>
        <v>14</v>
      </c>
      <c r="I32" s="6">
        <f t="shared" si="1"/>
        <v>3</v>
      </c>
      <c r="J32" s="2" t="s">
        <v>31</v>
      </c>
      <c r="L32" t="s">
        <v>272</v>
      </c>
      <c r="O32" s="10" t="s">
        <v>53</v>
      </c>
      <c r="P32" s="10">
        <f>COUNTIFS(J:J,"RTO",B:B,"Seized")</f>
        <v>1</v>
      </c>
    </row>
    <row r="33" spans="1:16" x14ac:dyDescent="0.25">
      <c r="A33" s="3">
        <v>39455</v>
      </c>
      <c r="B33" s="2" t="s">
        <v>180</v>
      </c>
      <c r="C33" t="s">
        <v>50</v>
      </c>
      <c r="D33" t="s">
        <v>208</v>
      </c>
      <c r="E33" s="2">
        <v>45667</v>
      </c>
      <c r="F33" s="2" cm="1">
        <f t="array" ref="F33">_xlfn.IFS(B33="Owner Surrender",E33,B33="Stray",E33+6,B33="Stray w/identification",E33+11,B33="Bite",E33+10,B33="Other",E33+30,B33="BAS",E33+56,B33="Seized",E33)</f>
        <v>45678</v>
      </c>
      <c r="G33" s="2">
        <v>45672</v>
      </c>
      <c r="H33" s="6">
        <f t="shared" si="0"/>
        <v>5</v>
      </c>
      <c r="I33" s="6">
        <f t="shared" si="1"/>
        <v>-6</v>
      </c>
      <c r="J33" s="2" t="s">
        <v>28</v>
      </c>
      <c r="L33" t="s">
        <v>271</v>
      </c>
      <c r="O33" s="10" t="s">
        <v>61</v>
      </c>
      <c r="P33" s="10">
        <f>COUNTIFS(J:J,"RTO",B:B,"Other")</f>
        <v>18</v>
      </c>
    </row>
    <row r="34" spans="1:16" x14ac:dyDescent="0.25">
      <c r="A34" s="3">
        <v>39456</v>
      </c>
      <c r="B34" s="2" t="s">
        <v>38</v>
      </c>
      <c r="C34" t="s">
        <v>56</v>
      </c>
      <c r="D34" t="s">
        <v>208</v>
      </c>
      <c r="E34" s="2">
        <v>45667</v>
      </c>
      <c r="F34" s="2" cm="1">
        <f t="array" ref="F34">_xlfn.IFS(B34="Owner Surrender",E34,B34="Stray",E34+6,B34="Stray w/identification",E34+11,B34="Bite",E34+10,B34="Other",E34+30,B34="BAS",E34+56,B34="Seized",E34)</f>
        <v>45673</v>
      </c>
      <c r="G34" s="2">
        <v>45681</v>
      </c>
      <c r="H34" s="6">
        <f t="shared" si="0"/>
        <v>14</v>
      </c>
      <c r="I34" s="6">
        <f t="shared" si="1"/>
        <v>8</v>
      </c>
      <c r="J34" s="2" t="s">
        <v>31</v>
      </c>
      <c r="K34" s="2" t="s">
        <v>270</v>
      </c>
      <c r="O34" s="10" t="s">
        <v>205</v>
      </c>
      <c r="P34" s="10">
        <f>COUNTIFS(J:J,"RTO",B:B,"BAS")</f>
        <v>0</v>
      </c>
    </row>
    <row r="35" spans="1:16" x14ac:dyDescent="0.25">
      <c r="A35" s="3">
        <v>39457</v>
      </c>
      <c r="B35" s="2" t="s">
        <v>180</v>
      </c>
      <c r="C35" t="s">
        <v>50</v>
      </c>
      <c r="D35" t="s">
        <v>208</v>
      </c>
      <c r="E35" s="2">
        <v>45667</v>
      </c>
      <c r="F35" s="2" cm="1">
        <f t="array" ref="F35">_xlfn.IFS(B35="Owner Surrender",E35,B35="Stray",E35+6,B35="Stray w/identification",E35+11,B35="Bite",E35+10,B35="Other",E35+30,B35="BAS",E35+56,B35="Seized",E35)</f>
        <v>45678</v>
      </c>
      <c r="G35" s="2">
        <v>45667</v>
      </c>
      <c r="H35" s="6">
        <f t="shared" si="0"/>
        <v>0</v>
      </c>
      <c r="I35" s="6">
        <f t="shared" si="1"/>
        <v>-11</v>
      </c>
      <c r="J35" s="2" t="s">
        <v>8</v>
      </c>
      <c r="K35" s="2"/>
      <c r="O35" s="10" t="s">
        <v>42</v>
      </c>
      <c r="P35" s="10">
        <f>COUNTIFS(J:J,"RTO",B:B,"Bite")</f>
        <v>4</v>
      </c>
    </row>
    <row r="36" spans="1:16" ht="18.75" x14ac:dyDescent="0.3">
      <c r="A36" s="3">
        <v>39458</v>
      </c>
      <c r="B36" s="2" t="s">
        <v>36</v>
      </c>
      <c r="C36" t="s">
        <v>149</v>
      </c>
      <c r="D36" t="s">
        <v>208</v>
      </c>
      <c r="E36" s="2">
        <v>45667</v>
      </c>
      <c r="F36" s="2" cm="1">
        <f t="array" ref="F36">_xlfn.IFS(B36="Owner Surrender",E36,B36="Stray",E36+6,B36="Stray w/identification",E36+11,B36="Bite",E36+10,B36="Other",E36+30,B36="BAS",E36+56,B36="Seized",E36)</f>
        <v>45667</v>
      </c>
      <c r="G36" s="2">
        <v>45672</v>
      </c>
      <c r="H36" s="6">
        <f t="shared" si="0"/>
        <v>5</v>
      </c>
      <c r="I36" s="6">
        <f t="shared" si="1"/>
        <v>5</v>
      </c>
      <c r="J36" s="2" t="s">
        <v>31</v>
      </c>
      <c r="K36" s="2" t="s">
        <v>269</v>
      </c>
      <c r="N36" s="11" t="s">
        <v>207</v>
      </c>
      <c r="O36" s="11"/>
      <c r="P36" s="11">
        <f>SUM(P37:P43)</f>
        <v>16</v>
      </c>
    </row>
    <row r="37" spans="1:16" x14ac:dyDescent="0.25">
      <c r="A37" s="3">
        <v>39459</v>
      </c>
      <c r="B37" s="2" t="s">
        <v>180</v>
      </c>
      <c r="C37" t="s">
        <v>71</v>
      </c>
      <c r="D37" t="s">
        <v>208</v>
      </c>
      <c r="E37" s="2">
        <v>45667</v>
      </c>
      <c r="F37" s="2" cm="1">
        <f t="array" ref="F37">_xlfn.IFS(B37="Owner Surrender",E37,B37="Stray",E37+6,B37="Stray w/identification",E37+11,B37="Bite",E37+10,B37="Other",E37+30,B37="BAS",E37+56,B37="Seized",E37)</f>
        <v>45678</v>
      </c>
      <c r="G37" s="2">
        <v>45667</v>
      </c>
      <c r="H37" s="6">
        <f t="shared" si="0"/>
        <v>0</v>
      </c>
      <c r="I37" s="6">
        <f t="shared" si="1"/>
        <v>-11</v>
      </c>
      <c r="J37" s="2" t="s">
        <v>8</v>
      </c>
      <c r="K37" s="2"/>
      <c r="O37" s="10" t="s">
        <v>36</v>
      </c>
      <c r="P37" s="10">
        <f>COUNTIFS(J:J,"Shelter",B:B,"Owner Surrender")</f>
        <v>3</v>
      </c>
    </row>
    <row r="38" spans="1:16" x14ac:dyDescent="0.25">
      <c r="A38" s="3">
        <v>39460</v>
      </c>
      <c r="B38" s="2" t="s">
        <v>180</v>
      </c>
      <c r="C38" t="s">
        <v>70</v>
      </c>
      <c r="D38" t="s">
        <v>208</v>
      </c>
      <c r="E38" s="2">
        <v>45669</v>
      </c>
      <c r="F38" s="2" cm="1">
        <f t="array" ref="F38">_xlfn.IFS(B38="Owner Surrender",E38,B38="Stray",E38+6,B38="Stray w/identification",E38+11,B38="Bite",E38+10,B38="Other",E38+30,B38="BAS",E38+56,B38="Seized",E38)</f>
        <v>45680</v>
      </c>
      <c r="G38" s="2">
        <v>45670</v>
      </c>
      <c r="H38" s="6">
        <f t="shared" si="0"/>
        <v>1</v>
      </c>
      <c r="I38" s="6">
        <f t="shared" si="1"/>
        <v>-10</v>
      </c>
      <c r="J38" s="2" t="s">
        <v>8</v>
      </c>
      <c r="K38" s="2"/>
      <c r="O38" s="10" t="s">
        <v>38</v>
      </c>
      <c r="P38" s="10">
        <f>COUNTIFS(J:J,"Shelter",B:B,"Stray")</f>
        <v>1</v>
      </c>
    </row>
    <row r="39" spans="1:16" x14ac:dyDescent="0.25">
      <c r="A39" s="3">
        <v>39462</v>
      </c>
      <c r="B39" s="2" t="s">
        <v>180</v>
      </c>
      <c r="C39" t="s">
        <v>63</v>
      </c>
      <c r="D39" t="s">
        <v>208</v>
      </c>
      <c r="E39" s="2">
        <v>45669</v>
      </c>
      <c r="F39" s="2" cm="1">
        <f t="array" ref="F39">_xlfn.IFS(B39="Owner Surrender",E39,B39="Stray",E39+6,B39="Stray w/identification",E39+11,B39="Bite",E39+10,B39="Other",E39+30,B39="BAS",E39+56,B39="Seized",E39)</f>
        <v>45680</v>
      </c>
      <c r="G39" s="2">
        <v>45670</v>
      </c>
      <c r="H39" s="6">
        <f t="shared" si="0"/>
        <v>1</v>
      </c>
      <c r="I39" s="6">
        <f t="shared" si="1"/>
        <v>-10</v>
      </c>
      <c r="J39" s="2" t="s">
        <v>8</v>
      </c>
      <c r="K39" s="2"/>
      <c r="O39" s="10" t="s">
        <v>204</v>
      </c>
      <c r="P39" s="10">
        <f>COUNTIFS(J:J,"Shelter",B:B,"Stray w/identification")</f>
        <v>2</v>
      </c>
    </row>
    <row r="40" spans="1:16" x14ac:dyDescent="0.25">
      <c r="A40" s="3">
        <v>39463</v>
      </c>
      <c r="B40" s="2" t="s">
        <v>180</v>
      </c>
      <c r="C40" t="s">
        <v>56</v>
      </c>
      <c r="D40" t="s">
        <v>210</v>
      </c>
      <c r="E40" s="2">
        <v>45668</v>
      </c>
      <c r="F40" s="2" cm="1">
        <f t="array" ref="F40">_xlfn.IFS(B40="Owner Surrender",E40,B40="Stray",E40+6,B40="Stray w/identification",E40+11,B40="Bite",E40+10,B40="Other",E40+30,B40="BAS",E40+56,B40="Seized",E40)</f>
        <v>45679</v>
      </c>
      <c r="G40" s="2">
        <v>45681</v>
      </c>
      <c r="H40" s="6">
        <f t="shared" si="0"/>
        <v>13</v>
      </c>
      <c r="I40" s="6">
        <f t="shared" si="1"/>
        <v>2</v>
      </c>
      <c r="J40" s="2" t="s">
        <v>11</v>
      </c>
      <c r="K40" t="s">
        <v>244</v>
      </c>
      <c r="O40" s="10" t="s">
        <v>53</v>
      </c>
      <c r="P40" s="10">
        <f>COUNTIFS(J:J,"Shelter",B:B,"Seized")</f>
        <v>1</v>
      </c>
    </row>
    <row r="41" spans="1:16" x14ac:dyDescent="0.25">
      <c r="A41" s="3">
        <v>39464</v>
      </c>
      <c r="B41" s="2" t="s">
        <v>38</v>
      </c>
      <c r="C41" t="s">
        <v>263</v>
      </c>
      <c r="D41" t="s">
        <v>208</v>
      </c>
      <c r="E41" s="2">
        <v>45669</v>
      </c>
      <c r="F41" s="2" cm="1">
        <f t="array" ref="F41">_xlfn.IFS(B41="Owner Surrender",E41,B41="Stray",E41+6,B41="Stray w/identification",E41+11,B41="Bite",E41+10,B41="Other",E41+30,B41="BAS",E41+56,B41="Seized",E41)</f>
        <v>45675</v>
      </c>
      <c r="G41" s="2">
        <v>45723</v>
      </c>
      <c r="H41" s="6">
        <f t="shared" si="0"/>
        <v>54</v>
      </c>
      <c r="I41" s="6">
        <f t="shared" si="1"/>
        <v>48</v>
      </c>
      <c r="J41" s="2" t="s">
        <v>31</v>
      </c>
      <c r="K41" s="2" t="s">
        <v>268</v>
      </c>
      <c r="O41" s="10" t="s">
        <v>61</v>
      </c>
      <c r="P41" s="10">
        <f>COUNTIFS(J:J,"Shelter",B:B,"Other")</f>
        <v>3</v>
      </c>
    </row>
    <row r="42" spans="1:16" ht="18.75" x14ac:dyDescent="0.3">
      <c r="A42" s="3">
        <v>39468</v>
      </c>
      <c r="B42" s="2" t="s">
        <v>180</v>
      </c>
      <c r="C42" t="s">
        <v>266</v>
      </c>
      <c r="D42" t="s">
        <v>208</v>
      </c>
      <c r="E42" s="2">
        <v>45671</v>
      </c>
      <c r="F42" s="2" cm="1">
        <f t="array" ref="F42">_xlfn.IFS(B42="Owner Surrender",E42,B42="Stray",E42+6,B42="Stray w/identification",E42+11,B42="Bite",E42+10,B42="Other",E42+30,B42="BAS",E42+56,B42="Seized",E42)</f>
        <v>45682</v>
      </c>
      <c r="G42" s="2">
        <v>45686</v>
      </c>
      <c r="H42" s="6">
        <f t="shared" si="0"/>
        <v>15</v>
      </c>
      <c r="I42" s="6">
        <f t="shared" si="1"/>
        <v>4</v>
      </c>
      <c r="J42" s="2" t="s">
        <v>31</v>
      </c>
      <c r="K42" s="2" t="s">
        <v>267</v>
      </c>
      <c r="L42" s="2"/>
      <c r="N42" s="12"/>
      <c r="O42" s="10" t="s">
        <v>205</v>
      </c>
      <c r="P42" s="10">
        <f>COUNTIFS(J:J,"Shelter",B:B,"BAS")</f>
        <v>4</v>
      </c>
    </row>
    <row r="43" spans="1:16" x14ac:dyDescent="0.25">
      <c r="A43" s="3">
        <v>39473</v>
      </c>
      <c r="B43" s="2" t="s">
        <v>36</v>
      </c>
      <c r="C43" t="s">
        <v>247</v>
      </c>
      <c r="D43" t="s">
        <v>208</v>
      </c>
      <c r="E43" s="2">
        <v>45670</v>
      </c>
      <c r="F43" s="2" cm="1">
        <f t="array" ref="F43">_xlfn.IFS(B43="Owner Surrender",E43,B43="Stray",E43+6,B43="Stray w/identification",E43+11,B43="Bite",E43+10,B43="Other",E43+30,B43="BAS",E43+56,B43="Seized",E43)</f>
        <v>45670</v>
      </c>
      <c r="G43" s="2">
        <v>45677</v>
      </c>
      <c r="H43" s="6">
        <f t="shared" si="0"/>
        <v>7</v>
      </c>
      <c r="I43" s="6">
        <f t="shared" si="1"/>
        <v>7</v>
      </c>
      <c r="J43" s="2" t="s">
        <v>31</v>
      </c>
      <c r="K43" s="2" t="s">
        <v>265</v>
      </c>
      <c r="O43" s="10" t="s">
        <v>42</v>
      </c>
      <c r="P43" s="10">
        <f>COUNTIFS(J:J,"Shelter",B:B,"Bite")</f>
        <v>2</v>
      </c>
    </row>
    <row r="44" spans="1:16" x14ac:dyDescent="0.25">
      <c r="A44" s="3">
        <v>39474</v>
      </c>
      <c r="B44" s="2" t="s">
        <v>36</v>
      </c>
      <c r="C44" t="s">
        <v>263</v>
      </c>
      <c r="D44" t="s">
        <v>208</v>
      </c>
      <c r="E44" s="2">
        <v>45671</v>
      </c>
      <c r="F44" s="2" cm="1">
        <f t="array" ref="F44">_xlfn.IFS(B44="Owner Surrender",E44,B44="Stray",E44+6,B44="Stray w/identification",E44+11,B44="Bite",E44+10,B44="Other",E44+30,B44="BAS",E44+56,B44="Seized",E44)</f>
        <v>45671</v>
      </c>
      <c r="G44" s="2">
        <v>45723</v>
      </c>
      <c r="H44" s="6">
        <f t="shared" si="0"/>
        <v>52</v>
      </c>
      <c r="I44" s="6">
        <f t="shared" si="1"/>
        <v>52</v>
      </c>
      <c r="J44" s="2" t="s">
        <v>31</v>
      </c>
    </row>
    <row r="45" spans="1:16" x14ac:dyDescent="0.25">
      <c r="A45" s="3">
        <v>39475</v>
      </c>
      <c r="B45" s="2" t="s">
        <v>36</v>
      </c>
      <c r="C45" t="s">
        <v>263</v>
      </c>
      <c r="D45" t="s">
        <v>208</v>
      </c>
      <c r="E45" s="2">
        <v>45671</v>
      </c>
      <c r="F45" s="2" cm="1">
        <f t="array" ref="F45">_xlfn.IFS(B45="Owner Surrender",E45,B45="Stray",E45+6,B45="Stray w/identification",E45+11,B45="Bite",E45+10,B45="Other",E45+30,B45="BAS",E45+56,B45="Seized",E45)</f>
        <v>45671</v>
      </c>
      <c r="G45" s="2">
        <v>45716</v>
      </c>
      <c r="H45" s="6">
        <f t="shared" si="0"/>
        <v>45</v>
      </c>
      <c r="I45" s="6">
        <f t="shared" si="1"/>
        <v>45</v>
      </c>
      <c r="J45" s="2" t="s">
        <v>31</v>
      </c>
      <c r="K45" s="2" t="s">
        <v>264</v>
      </c>
    </row>
    <row r="46" spans="1:16" x14ac:dyDescent="0.25">
      <c r="A46" s="3">
        <v>39477</v>
      </c>
      <c r="B46" s="2" t="s">
        <v>180</v>
      </c>
      <c r="C46" t="s">
        <v>96</v>
      </c>
      <c r="D46" t="s">
        <v>208</v>
      </c>
      <c r="E46" s="2">
        <v>45671</v>
      </c>
      <c r="F46" s="2" cm="1">
        <f t="array" ref="F46">_xlfn.IFS(B46="Owner Surrender",E46,B46="Stray",E46+6,B46="Stray w/identification",E46+11,B46="Bite",E46+10,B46="Other",E46+30,B46="BAS",E46+56,B46="Seized",E46)</f>
        <v>45682</v>
      </c>
      <c r="G46" s="2">
        <v>45673</v>
      </c>
      <c r="H46" s="6">
        <f t="shared" si="0"/>
        <v>2</v>
      </c>
      <c r="I46" s="6">
        <f t="shared" si="1"/>
        <v>-9</v>
      </c>
      <c r="J46" s="2" t="s">
        <v>8</v>
      </c>
      <c r="K46" s="2"/>
    </row>
    <row r="47" spans="1:16" x14ac:dyDescent="0.25">
      <c r="A47" s="3">
        <v>39478</v>
      </c>
      <c r="B47" s="2" t="s">
        <v>36</v>
      </c>
      <c r="C47" t="s">
        <v>247</v>
      </c>
      <c r="D47" t="s">
        <v>209</v>
      </c>
      <c r="E47" s="2">
        <v>45671</v>
      </c>
      <c r="F47" s="2" cm="1">
        <f t="array" ref="F47">_xlfn.IFS(B47="Owner Surrender",E47,B47="Stray",E47+6,B47="Stray w/identification",E47+11,B47="Bite",E47+10,B47="Other",E47+30,B47="BAS",E47+56,B47="Seized",E47)</f>
        <v>45671</v>
      </c>
      <c r="G47" s="2">
        <v>45677</v>
      </c>
      <c r="H47" s="6">
        <f t="shared" si="0"/>
        <v>6</v>
      </c>
      <c r="I47" s="6">
        <f t="shared" si="1"/>
        <v>6</v>
      </c>
      <c r="J47" s="2" t="s">
        <v>11</v>
      </c>
      <c r="K47" t="s">
        <v>243</v>
      </c>
    </row>
    <row r="48" spans="1:16" x14ac:dyDescent="0.25">
      <c r="A48" s="3">
        <v>39480</v>
      </c>
      <c r="B48" s="2" t="s">
        <v>180</v>
      </c>
      <c r="C48" t="s">
        <v>50</v>
      </c>
      <c r="D48" t="s">
        <v>208</v>
      </c>
      <c r="E48" s="2">
        <v>45672</v>
      </c>
      <c r="F48" s="2" cm="1">
        <f t="array" ref="F48">_xlfn.IFS(B48="Owner Surrender",E48,B48="Stray",E48+6,B48="Stray w/identification",E48+11,B48="Bite",E48+10,B48="Other",E48+30,B48="BAS",E48+56,B48="Seized",E48)</f>
        <v>45683</v>
      </c>
      <c r="G48" s="2">
        <v>45672</v>
      </c>
      <c r="H48" s="6">
        <f t="shared" si="0"/>
        <v>0</v>
      </c>
      <c r="I48" s="6">
        <f t="shared" si="1"/>
        <v>-11</v>
      </c>
      <c r="J48" s="2" t="s">
        <v>8</v>
      </c>
    </row>
    <row r="49" spans="1:12" x14ac:dyDescent="0.25">
      <c r="A49" s="3">
        <v>39481</v>
      </c>
      <c r="B49" s="2" t="s">
        <v>38</v>
      </c>
      <c r="C49" t="s">
        <v>96</v>
      </c>
      <c r="D49" t="s">
        <v>208</v>
      </c>
      <c r="E49" s="2">
        <v>45672</v>
      </c>
      <c r="F49" s="2" cm="1">
        <f t="array" ref="F49">_xlfn.IFS(B49="Owner Surrender",E49,B49="Stray",E49+6,B49="Stray w/identification",E49+11,B49="Bite",E49+10,B49="Other",E49+30,B49="BAS",E49+56,B49="Seized",E49)</f>
        <v>45678</v>
      </c>
      <c r="G49" s="2">
        <v>45680</v>
      </c>
      <c r="H49" s="6">
        <f t="shared" si="0"/>
        <v>8</v>
      </c>
      <c r="I49" s="6">
        <f t="shared" si="1"/>
        <v>2</v>
      </c>
      <c r="J49" s="2" t="s">
        <v>11</v>
      </c>
    </row>
    <row r="50" spans="1:12" x14ac:dyDescent="0.25">
      <c r="A50" s="3">
        <v>39485</v>
      </c>
      <c r="B50" s="2" t="s">
        <v>36</v>
      </c>
      <c r="C50" t="s">
        <v>111</v>
      </c>
      <c r="D50" t="s">
        <v>209</v>
      </c>
      <c r="E50" s="2">
        <v>45682</v>
      </c>
      <c r="F50" s="2" cm="1">
        <f t="array" ref="F50">_xlfn.IFS(B50="Owner Surrender",E50,B50="Stray",E50+6,B50="Stray w/identification",E50+11,B50="Bite",E50+10,B50="Other",E50+30,B50="BAS",E50+56,B50="Seized",E50)</f>
        <v>45682</v>
      </c>
      <c r="G50" s="2">
        <v>45693</v>
      </c>
      <c r="H50" s="6">
        <f t="shared" si="0"/>
        <v>11</v>
      </c>
      <c r="I50" s="6">
        <f t="shared" si="1"/>
        <v>11</v>
      </c>
      <c r="J50" s="2" t="s">
        <v>18</v>
      </c>
      <c r="K50" t="s">
        <v>423</v>
      </c>
    </row>
    <row r="51" spans="1:12" x14ac:dyDescent="0.25">
      <c r="A51" s="3">
        <v>39486</v>
      </c>
      <c r="B51" s="2" t="s">
        <v>36</v>
      </c>
      <c r="C51" t="s">
        <v>247</v>
      </c>
      <c r="D51" t="s">
        <v>210</v>
      </c>
      <c r="E51" s="2">
        <v>45673</v>
      </c>
      <c r="F51" s="2" cm="1">
        <f t="array" ref="F51">_xlfn.IFS(B51="Owner Surrender",E51,B51="Stray",E51+6,B51="Stray w/identification",E51+11,B51="Bite",E51+10,B51="Other",E51+30,B51="BAS",E51+56,B51="Seized",E51)</f>
        <v>45673</v>
      </c>
      <c r="G51" s="2">
        <v>45677</v>
      </c>
      <c r="H51" s="6">
        <f t="shared" si="0"/>
        <v>4</v>
      </c>
      <c r="I51" s="6">
        <f t="shared" si="1"/>
        <v>4</v>
      </c>
      <c r="J51" s="2" t="s">
        <v>31</v>
      </c>
      <c r="K51" s="2" t="s">
        <v>281</v>
      </c>
    </row>
    <row r="52" spans="1:12" x14ac:dyDescent="0.25">
      <c r="A52" s="3">
        <v>39487</v>
      </c>
      <c r="B52" s="2" t="s">
        <v>36</v>
      </c>
      <c r="C52" t="s">
        <v>238</v>
      </c>
      <c r="D52" t="s">
        <v>208</v>
      </c>
      <c r="E52" s="2">
        <v>45673</v>
      </c>
      <c r="F52" s="2" cm="1">
        <f t="array" ref="F52">_xlfn.IFS(B52="Owner Surrender",E52,B52="Stray",E52+6,B52="Stray w/identification",E52+11,B52="Bite",E52+10,B52="Other",E52+30,B52="BAS",E52+56,B52="Seized",E52)</f>
        <v>45673</v>
      </c>
      <c r="G52" s="2">
        <v>45674</v>
      </c>
      <c r="H52" s="6">
        <f t="shared" si="0"/>
        <v>1</v>
      </c>
      <c r="I52" s="6">
        <f t="shared" si="1"/>
        <v>1</v>
      </c>
      <c r="J52" s="2" t="s">
        <v>28</v>
      </c>
      <c r="L52" t="s">
        <v>246</v>
      </c>
    </row>
    <row r="53" spans="1:12" x14ac:dyDescent="0.25">
      <c r="A53" s="3">
        <v>39488</v>
      </c>
      <c r="B53" s="2" t="s">
        <v>38</v>
      </c>
      <c r="C53" t="s">
        <v>50</v>
      </c>
      <c r="D53" t="s">
        <v>209</v>
      </c>
      <c r="E53" s="2">
        <v>45674</v>
      </c>
      <c r="F53" s="2" cm="1">
        <f t="array" ref="F53">_xlfn.IFS(B53="Owner Surrender",E53,B53="Stray",E53+6,B53="Stray w/identification",E53+11,B53="Bite",E53+10,B53="Other",E53+30,B53="BAS",E53+56,B53="Seized",E53)</f>
        <v>45680</v>
      </c>
      <c r="G53" s="2">
        <v>45680</v>
      </c>
      <c r="H53" s="6">
        <f t="shared" si="0"/>
        <v>6</v>
      </c>
      <c r="I53" s="6">
        <f t="shared" si="1"/>
        <v>0</v>
      </c>
      <c r="J53" s="2" t="s">
        <v>31</v>
      </c>
    </row>
    <row r="54" spans="1:12" x14ac:dyDescent="0.25">
      <c r="A54" s="3">
        <v>39489</v>
      </c>
      <c r="B54" s="2" t="s">
        <v>38</v>
      </c>
      <c r="C54" t="s">
        <v>50</v>
      </c>
      <c r="D54" t="s">
        <v>209</v>
      </c>
      <c r="E54" s="2">
        <v>45674</v>
      </c>
      <c r="F54" s="2" cm="1">
        <f t="array" ref="F54">_xlfn.IFS(B54="Owner Surrender",E54,B54="Stray",E54+6,B54="Stray w/identification",E54+11,B54="Bite",E54+10,B54="Other",E54+30,B54="BAS",E54+56,B54="Seized",E54)</f>
        <v>45680</v>
      </c>
      <c r="G54" s="2">
        <v>45679</v>
      </c>
      <c r="H54" s="6">
        <f t="shared" si="0"/>
        <v>5</v>
      </c>
      <c r="I54" s="6">
        <f t="shared" si="1"/>
        <v>-1</v>
      </c>
      <c r="J54" s="2" t="s">
        <v>31</v>
      </c>
      <c r="K54" s="2"/>
    </row>
    <row r="55" spans="1:12" x14ac:dyDescent="0.25">
      <c r="A55" s="3">
        <v>39490</v>
      </c>
      <c r="B55" s="2" t="s">
        <v>38</v>
      </c>
      <c r="C55" t="s">
        <v>50</v>
      </c>
      <c r="D55" t="s">
        <v>209</v>
      </c>
      <c r="E55" s="2">
        <v>45674</v>
      </c>
      <c r="F55" s="2" cm="1">
        <f t="array" ref="F55">_xlfn.IFS(B55="Owner Surrender",E55,B55="Stray",E55+6,B55="Stray w/identification",E55+11,B55="Bite",E55+10,B55="Other",E55+30,B55="BAS",E55+56,B55="Seized",E55)</f>
        <v>45680</v>
      </c>
      <c r="G55" s="2">
        <v>45680</v>
      </c>
      <c r="H55" s="6">
        <f t="shared" si="0"/>
        <v>6</v>
      </c>
      <c r="I55" s="6">
        <f t="shared" si="1"/>
        <v>0</v>
      </c>
      <c r="J55" s="2" t="s">
        <v>31</v>
      </c>
    </row>
    <row r="56" spans="1:12" x14ac:dyDescent="0.25">
      <c r="A56" s="3">
        <v>39491</v>
      </c>
      <c r="B56" s="2" t="s">
        <v>38</v>
      </c>
      <c r="C56" t="s">
        <v>50</v>
      </c>
      <c r="D56" t="s">
        <v>209</v>
      </c>
      <c r="E56" s="2">
        <v>45674</v>
      </c>
      <c r="F56" s="2" cm="1">
        <f t="array" ref="F56">_xlfn.IFS(B56="Owner Surrender",E56,B56="Stray",E56+6,B56="Stray w/identification",E56+11,B56="Bite",E56+10,B56="Other",E56+30,B56="BAS",E56+56,B56="Seized",E56)</f>
        <v>45680</v>
      </c>
      <c r="G56" s="2">
        <v>45680</v>
      </c>
      <c r="H56" s="6">
        <f t="shared" si="0"/>
        <v>6</v>
      </c>
      <c r="I56" s="6">
        <f t="shared" si="1"/>
        <v>0</v>
      </c>
      <c r="J56" s="2" t="s">
        <v>31</v>
      </c>
      <c r="K56" s="2"/>
    </row>
    <row r="57" spans="1:12" x14ac:dyDescent="0.25">
      <c r="A57" s="3">
        <v>39492</v>
      </c>
      <c r="B57" s="2" t="s">
        <v>38</v>
      </c>
      <c r="C57" t="s">
        <v>50</v>
      </c>
      <c r="D57" t="s">
        <v>209</v>
      </c>
      <c r="E57" s="2">
        <v>45674</v>
      </c>
      <c r="F57" s="2" cm="1">
        <f t="array" ref="F57">_xlfn.IFS(B57="Owner Surrender",E57,B57="Stray",E57+6,B57="Stray w/identification",E57+11,B57="Bite",E57+10,B57="Other",E57+30,B57="BAS",E57+56,B57="Seized",E57)</f>
        <v>45680</v>
      </c>
      <c r="G57" s="2">
        <v>45670</v>
      </c>
      <c r="H57" s="6">
        <f t="shared" si="0"/>
        <v>-4</v>
      </c>
      <c r="I57" s="6">
        <f t="shared" si="1"/>
        <v>-10</v>
      </c>
      <c r="J57" s="2" t="s">
        <v>31</v>
      </c>
      <c r="K57" s="2"/>
      <c r="L57" s="2"/>
    </row>
    <row r="58" spans="1:12" x14ac:dyDescent="0.25">
      <c r="A58" s="3">
        <v>39493</v>
      </c>
      <c r="B58" s="2" t="s">
        <v>38</v>
      </c>
      <c r="C58" t="s">
        <v>50</v>
      </c>
      <c r="D58" t="s">
        <v>209</v>
      </c>
      <c r="E58" s="2">
        <v>45674</v>
      </c>
      <c r="F58" s="2" cm="1">
        <f t="array" ref="F58">_xlfn.IFS(B58="Owner Surrender",E58,B58="Stray",E58+6,B58="Stray w/identification",E58+11,B58="Bite",E58+10,B58="Other",E58+30,B58="BAS",E58+56,B58="Seized",E58)</f>
        <v>45680</v>
      </c>
      <c r="G58" s="2">
        <v>45680</v>
      </c>
      <c r="H58" s="6">
        <f t="shared" si="0"/>
        <v>6</v>
      </c>
      <c r="I58" s="6">
        <f t="shared" si="1"/>
        <v>0</v>
      </c>
      <c r="J58" s="2" t="s">
        <v>31</v>
      </c>
    </row>
    <row r="59" spans="1:12" x14ac:dyDescent="0.25">
      <c r="A59" s="3">
        <v>39494</v>
      </c>
      <c r="B59" s="2" t="s">
        <v>38</v>
      </c>
      <c r="C59" t="s">
        <v>50</v>
      </c>
      <c r="D59" t="s">
        <v>209</v>
      </c>
      <c r="E59" s="2">
        <v>45674</v>
      </c>
      <c r="F59" s="2" cm="1">
        <f t="array" ref="F59">_xlfn.IFS(B59="Owner Surrender",E59,B59="Stray",E59+6,B59="Stray w/identification",E59+11,B59="Bite",E59+10,B59="Other",E59+30,B59="BAS",E59+56,B59="Seized",E59)</f>
        <v>45680</v>
      </c>
      <c r="G59" s="2">
        <v>45680</v>
      </c>
      <c r="H59" s="6">
        <f t="shared" si="0"/>
        <v>6</v>
      </c>
      <c r="I59" s="6">
        <f t="shared" si="1"/>
        <v>0</v>
      </c>
      <c r="J59" s="2" t="s">
        <v>31</v>
      </c>
      <c r="K59" s="2"/>
      <c r="L59" s="2"/>
    </row>
    <row r="60" spans="1:12" x14ac:dyDescent="0.25">
      <c r="A60" s="3">
        <v>39496</v>
      </c>
      <c r="B60" s="2" t="s">
        <v>38</v>
      </c>
      <c r="C60" t="s">
        <v>73</v>
      </c>
      <c r="D60" t="s">
        <v>208</v>
      </c>
      <c r="E60" s="2">
        <v>45674</v>
      </c>
      <c r="F60" s="2" cm="1">
        <f t="array" ref="F60">_xlfn.IFS(B60="Owner Surrender",E60,B60="Stray",E60+6,B60="Stray w/identification",E60+11,B60="Bite",E60+10,B60="Other",E60+30,B60="BAS",E60+56,B60="Seized",E60)</f>
        <v>45680</v>
      </c>
      <c r="G60" s="2">
        <v>45682</v>
      </c>
      <c r="H60" s="6">
        <f t="shared" si="0"/>
        <v>8</v>
      </c>
      <c r="I60" s="6">
        <f t="shared" si="1"/>
        <v>2</v>
      </c>
      <c r="J60" s="2" t="s">
        <v>11</v>
      </c>
      <c r="K60" t="s">
        <v>235</v>
      </c>
    </row>
    <row r="61" spans="1:12" x14ac:dyDescent="0.25">
      <c r="A61" s="3">
        <v>39497</v>
      </c>
      <c r="B61" s="2" t="s">
        <v>36</v>
      </c>
      <c r="C61" t="s">
        <v>250</v>
      </c>
      <c r="D61" t="s">
        <v>208</v>
      </c>
      <c r="E61" s="2">
        <v>45674</v>
      </c>
      <c r="F61" s="2" cm="1">
        <f t="array" ref="F61">_xlfn.IFS(B61="Owner Surrender",E61,B61="Stray",E61+6,B61="Stray w/identification",E61+11,B61="Bite",E61+10,B61="Other",E61+30,B61="BAS",E61+56,B61="Seized",E61)</f>
        <v>45674</v>
      </c>
      <c r="G61" s="2">
        <v>45680</v>
      </c>
      <c r="H61" s="6">
        <f t="shared" si="0"/>
        <v>6</v>
      </c>
      <c r="I61" s="6">
        <f t="shared" si="1"/>
        <v>6</v>
      </c>
      <c r="J61" s="2" t="s">
        <v>31</v>
      </c>
      <c r="K61" s="2" t="s">
        <v>262</v>
      </c>
    </row>
    <row r="62" spans="1:12" x14ac:dyDescent="0.25">
      <c r="A62" s="3">
        <v>39498</v>
      </c>
      <c r="B62" s="2" t="s">
        <v>36</v>
      </c>
      <c r="C62" t="s">
        <v>50</v>
      </c>
      <c r="D62" t="s">
        <v>208</v>
      </c>
      <c r="E62" s="2">
        <v>45674</v>
      </c>
      <c r="F62" s="2" cm="1">
        <f t="array" ref="F62">_xlfn.IFS(B62="Owner Surrender",E62,B62="Stray",E62+6,B62="Stray w/identification",E62+11,B62="Bite",E62+10,B62="Other",E62+30,B62="BAS",E62+56,B62="Seized",E62)</f>
        <v>45674</v>
      </c>
      <c r="G62" s="2">
        <v>45681</v>
      </c>
      <c r="H62" s="6">
        <f t="shared" si="0"/>
        <v>7</v>
      </c>
      <c r="I62" s="6">
        <f t="shared" si="1"/>
        <v>7</v>
      </c>
      <c r="J62" s="2" t="s">
        <v>31</v>
      </c>
      <c r="K62" s="2" t="s">
        <v>259</v>
      </c>
    </row>
    <row r="63" spans="1:12" x14ac:dyDescent="0.25">
      <c r="A63" s="3">
        <v>39499</v>
      </c>
      <c r="B63" s="2" t="s">
        <v>36</v>
      </c>
      <c r="C63" t="s">
        <v>50</v>
      </c>
      <c r="D63" t="s">
        <v>208</v>
      </c>
      <c r="E63" s="2">
        <v>45674</v>
      </c>
      <c r="F63" s="2" cm="1">
        <f t="array" ref="F63">_xlfn.IFS(B63="Owner Surrender",E63,B63="Stray",E63+6,B63="Stray w/identification",E63+11,B63="Bite",E63+10,B63="Other",E63+30,B63="BAS",E63+56,B63="Seized",E63)</f>
        <v>45674</v>
      </c>
      <c r="G63" s="2">
        <v>45681</v>
      </c>
      <c r="H63" s="6">
        <f t="shared" si="0"/>
        <v>7</v>
      </c>
      <c r="I63" s="6">
        <f t="shared" si="1"/>
        <v>7</v>
      </c>
      <c r="J63" s="2" t="s">
        <v>31</v>
      </c>
      <c r="K63" s="2" t="s">
        <v>261</v>
      </c>
    </row>
    <row r="64" spans="1:12" x14ac:dyDescent="0.25">
      <c r="A64" s="3">
        <v>39500</v>
      </c>
      <c r="B64" s="2" t="s">
        <v>36</v>
      </c>
      <c r="C64" t="s">
        <v>50</v>
      </c>
      <c r="D64" t="s">
        <v>208</v>
      </c>
      <c r="E64" s="2">
        <v>45674</v>
      </c>
      <c r="F64" s="2" cm="1">
        <f t="array" ref="F64">_xlfn.IFS(B64="Owner Surrender",E64,B64="Stray",E64+6,B64="Stray w/identification",E64+11,B64="Bite",E64+10,B64="Other",E64+30,B64="BAS",E64+56,B64="Seized",E64)</f>
        <v>45674</v>
      </c>
      <c r="G64" s="2">
        <v>45681</v>
      </c>
      <c r="H64" s="6">
        <f t="shared" si="0"/>
        <v>7</v>
      </c>
      <c r="I64" s="6">
        <f t="shared" si="1"/>
        <v>7</v>
      </c>
      <c r="J64" s="2" t="s">
        <v>31</v>
      </c>
      <c r="K64" t="s">
        <v>260</v>
      </c>
    </row>
    <row r="65" spans="1:12" x14ac:dyDescent="0.25">
      <c r="A65" s="3">
        <v>39501</v>
      </c>
      <c r="B65" s="2" t="s">
        <v>36</v>
      </c>
      <c r="C65" t="s">
        <v>50</v>
      </c>
      <c r="D65" t="s">
        <v>208</v>
      </c>
      <c r="E65" s="2">
        <v>45674</v>
      </c>
      <c r="F65" s="2" cm="1">
        <f t="array" ref="F65">_xlfn.IFS(B65="Owner Surrender",E65,B65="Stray",E65+6,B65="Stray w/identification",E65+11,B65="Bite",E65+10,B65="Other",E65+30,B65="BAS",E65+56,B65="Seized",E65)</f>
        <v>45674</v>
      </c>
      <c r="G65" s="2">
        <v>45677</v>
      </c>
      <c r="H65" s="6">
        <f t="shared" si="0"/>
        <v>3</v>
      </c>
      <c r="I65" s="6">
        <f t="shared" si="1"/>
        <v>3</v>
      </c>
      <c r="J65" s="2" t="s">
        <v>31</v>
      </c>
      <c r="K65" t="s">
        <v>259</v>
      </c>
    </row>
    <row r="66" spans="1:12" x14ac:dyDescent="0.25">
      <c r="A66" s="3">
        <v>39503</v>
      </c>
      <c r="B66" s="2" t="s">
        <v>38</v>
      </c>
      <c r="C66" t="s">
        <v>50</v>
      </c>
      <c r="D66" t="s">
        <v>209</v>
      </c>
      <c r="E66" s="2">
        <v>45674</v>
      </c>
      <c r="F66" s="2" cm="1">
        <f t="array" ref="F66">_xlfn.IFS(B66="Owner Surrender",E66,B66="Stray",E66+6,B66="Stray w/identification",E66+11,B66="Bite",E66+10,B66="Other",E66+30,B66="BAS",E66+56,B66="Seized",E66)</f>
        <v>45680</v>
      </c>
      <c r="G66" s="2">
        <v>45684</v>
      </c>
      <c r="H66" s="6">
        <f t="shared" si="0"/>
        <v>10</v>
      </c>
      <c r="I66" s="6">
        <f t="shared" si="1"/>
        <v>4</v>
      </c>
      <c r="J66" s="2" t="s">
        <v>11</v>
      </c>
      <c r="K66" t="s">
        <v>242</v>
      </c>
    </row>
    <row r="67" spans="1:12" x14ac:dyDescent="0.25">
      <c r="A67" s="3">
        <v>39505</v>
      </c>
      <c r="B67" s="2" t="s">
        <v>38</v>
      </c>
      <c r="C67" t="s">
        <v>282</v>
      </c>
      <c r="D67" t="s">
        <v>209</v>
      </c>
      <c r="E67" s="2">
        <v>45675</v>
      </c>
      <c r="F67" s="2" cm="1">
        <f t="array" ref="F67">_xlfn.IFS(B67="Owner Surrender",E67,B67="Stray",E67+6,B67="Stray w/identification",E67+11,B67="Bite",E67+10,B67="Other",E67+30,B67="BAS",E67+56,B67="Seized",E67)</f>
        <v>45681</v>
      </c>
      <c r="G67" s="2">
        <v>45686</v>
      </c>
      <c r="H67" s="6">
        <f t="shared" ref="H67:H130" si="2">+G67-E67</f>
        <v>11</v>
      </c>
      <c r="I67" s="6">
        <f t="shared" ref="I67:I130" si="3">G67-F67</f>
        <v>5</v>
      </c>
      <c r="J67" s="2" t="s">
        <v>31</v>
      </c>
    </row>
    <row r="68" spans="1:12" x14ac:dyDescent="0.25">
      <c r="A68" s="3">
        <v>39506</v>
      </c>
      <c r="B68" s="2" t="s">
        <v>38</v>
      </c>
      <c r="C68" t="s">
        <v>282</v>
      </c>
      <c r="D68" t="s">
        <v>209</v>
      </c>
      <c r="E68" s="2">
        <v>45675</v>
      </c>
      <c r="F68" s="2" cm="1">
        <f t="array" ref="F68">_xlfn.IFS(B68="Owner Surrender",E68,B68="Stray",E68+6,B68="Stray w/identification",E68+11,B68="Bite",E68+10,B68="Other",E68+30,B68="BAS",E68+56,B68="Seized",E68)</f>
        <v>45681</v>
      </c>
      <c r="G68" s="2">
        <v>45686</v>
      </c>
      <c r="H68" s="6">
        <f t="shared" si="2"/>
        <v>11</v>
      </c>
      <c r="I68" s="6">
        <f t="shared" si="3"/>
        <v>5</v>
      </c>
      <c r="J68" s="2" t="s">
        <v>31</v>
      </c>
    </row>
    <row r="69" spans="1:12" x14ac:dyDescent="0.25">
      <c r="A69" s="3">
        <v>39507</v>
      </c>
      <c r="B69" s="2" t="s">
        <v>38</v>
      </c>
      <c r="C69" t="s">
        <v>282</v>
      </c>
      <c r="D69" t="s">
        <v>209</v>
      </c>
      <c r="E69" s="2">
        <v>45675</v>
      </c>
      <c r="F69" s="2" cm="1">
        <f t="array" ref="F69">_xlfn.IFS(B69="Owner Surrender",E69,B69="Stray",E69+6,B69="Stray w/identification",E69+11,B69="Bite",E69+10,B69="Other",E69+30,B69="BAS",E69+56,B69="Seized",E69)</f>
        <v>45681</v>
      </c>
      <c r="G69" s="2">
        <v>45686</v>
      </c>
      <c r="H69" s="6">
        <f t="shared" si="2"/>
        <v>11</v>
      </c>
      <c r="I69" s="6">
        <f t="shared" si="3"/>
        <v>5</v>
      </c>
      <c r="J69" s="2" t="s">
        <v>31</v>
      </c>
    </row>
    <row r="70" spans="1:12" x14ac:dyDescent="0.25">
      <c r="A70" s="3">
        <v>39508</v>
      </c>
      <c r="B70" s="2" t="s">
        <v>38</v>
      </c>
      <c r="C70" t="s">
        <v>72</v>
      </c>
      <c r="D70" t="s">
        <v>208</v>
      </c>
      <c r="E70" s="2">
        <v>45675</v>
      </c>
      <c r="F70" s="2" cm="1">
        <f t="array" ref="F70">_xlfn.IFS(B70="Owner Surrender",E70,B70="Stray",E70+6,B70="Stray w/identification",E70+11,B70="Bite",E70+10,B70="Other",E70+30,B70="BAS",E70+56,B70="Seized",E70)</f>
        <v>45681</v>
      </c>
      <c r="G70" s="2">
        <v>45692</v>
      </c>
      <c r="H70" s="6">
        <f t="shared" si="2"/>
        <v>17</v>
      </c>
      <c r="I70" s="6">
        <f t="shared" si="3"/>
        <v>11</v>
      </c>
      <c r="J70" s="2" t="s">
        <v>31</v>
      </c>
    </row>
    <row r="71" spans="1:12" x14ac:dyDescent="0.25">
      <c r="A71" s="3">
        <v>39510</v>
      </c>
      <c r="B71" s="2" t="s">
        <v>36</v>
      </c>
      <c r="C71" t="s">
        <v>149</v>
      </c>
      <c r="D71" t="s">
        <v>209</v>
      </c>
      <c r="E71" s="2">
        <v>45675</v>
      </c>
      <c r="F71" s="2" cm="1">
        <f t="array" ref="F71">_xlfn.IFS(B71="Owner Surrender",E71,B71="Stray",E71+6,B71="Stray w/identification",E71+11,B71="Bite",E71+10,B71="Other",E71+30,B71="BAS",E71+56,B71="Seized",E71)</f>
        <v>45675</v>
      </c>
      <c r="G71" s="2">
        <v>45695</v>
      </c>
      <c r="H71" s="6">
        <f t="shared" si="2"/>
        <v>20</v>
      </c>
      <c r="I71" s="6">
        <f t="shared" si="3"/>
        <v>20</v>
      </c>
      <c r="J71" s="2" t="s">
        <v>31</v>
      </c>
    </row>
    <row r="72" spans="1:12" x14ac:dyDescent="0.25">
      <c r="A72" s="3">
        <v>39512</v>
      </c>
      <c r="B72" s="2" t="s">
        <v>180</v>
      </c>
      <c r="C72" t="s">
        <v>50</v>
      </c>
      <c r="D72" t="s">
        <v>208</v>
      </c>
      <c r="E72" s="2">
        <v>45675</v>
      </c>
      <c r="F72" s="2" cm="1">
        <f t="array" ref="F72">_xlfn.IFS(B72="Owner Surrender",E72,B72="Stray",E72+6,B72="Stray w/identification",E72+11,B72="Bite",E72+10,B72="Other",E72+30,B72="BAS",E72+56,B72="Seized",E72)</f>
        <v>45686</v>
      </c>
      <c r="G72" s="2">
        <v>45692</v>
      </c>
      <c r="H72" s="6">
        <f t="shared" si="2"/>
        <v>17</v>
      </c>
      <c r="I72" s="6">
        <f t="shared" si="3"/>
        <v>6</v>
      </c>
      <c r="J72" s="2" t="s">
        <v>31</v>
      </c>
      <c r="L72" t="s">
        <v>258</v>
      </c>
    </row>
    <row r="73" spans="1:12" x14ac:dyDescent="0.25">
      <c r="A73" s="3">
        <v>39513</v>
      </c>
      <c r="B73" s="2" t="s">
        <v>38</v>
      </c>
      <c r="C73" t="s">
        <v>50</v>
      </c>
      <c r="D73" t="s">
        <v>208</v>
      </c>
      <c r="E73" s="2">
        <v>45676</v>
      </c>
      <c r="F73" s="2" cm="1">
        <f t="array" ref="F73">_xlfn.IFS(B73="Owner Surrender",E73,B73="Stray",E73+6,B73="Stray w/identification",E73+11,B73="Bite",E73+10,B73="Other",E73+30,B73="BAS",E73+56,B73="Seized",E73)</f>
        <v>45682</v>
      </c>
      <c r="G73" s="2">
        <v>45785</v>
      </c>
      <c r="H73" s="6">
        <f t="shared" si="2"/>
        <v>109</v>
      </c>
      <c r="I73" s="6">
        <f t="shared" si="3"/>
        <v>103</v>
      </c>
      <c r="J73" s="2" t="s">
        <v>31</v>
      </c>
    </row>
    <row r="74" spans="1:12" x14ac:dyDescent="0.25">
      <c r="A74" s="3">
        <v>39514</v>
      </c>
      <c r="B74" s="2" t="s">
        <v>38</v>
      </c>
      <c r="C74" t="s">
        <v>76</v>
      </c>
      <c r="D74" t="s">
        <v>208</v>
      </c>
      <c r="E74" s="2">
        <v>45676</v>
      </c>
      <c r="F74" s="2" cm="1">
        <f t="array" ref="F74">_xlfn.IFS(B74="Owner Surrender",E74,B74="Stray",E74+6,B74="Stray w/identification",E74+11,B74="Bite",E74+10,B74="Other",E74+30,B74="BAS",E74+56,B74="Seized",E74)</f>
        <v>45682</v>
      </c>
      <c r="G74" s="2">
        <v>45685</v>
      </c>
      <c r="H74" s="6">
        <f t="shared" si="2"/>
        <v>9</v>
      </c>
      <c r="I74" s="6">
        <f t="shared" si="3"/>
        <v>3</v>
      </c>
      <c r="J74" s="2" t="s">
        <v>31</v>
      </c>
    </row>
    <row r="75" spans="1:12" x14ac:dyDescent="0.25">
      <c r="A75" s="3">
        <v>39515</v>
      </c>
      <c r="B75" s="2" t="s">
        <v>38</v>
      </c>
      <c r="C75" t="s">
        <v>424</v>
      </c>
      <c r="D75" t="s">
        <v>208</v>
      </c>
      <c r="E75" s="2">
        <v>45676</v>
      </c>
      <c r="F75" s="2" cm="1">
        <f t="array" ref="F75">_xlfn.IFS(B75="Owner Surrender",E75,B75="Stray",E75+6,B75="Stray w/identification",E75+11,B75="Bite",E75+10,B75="Other",E75+30,B75="BAS",E75+56,B75="Seized",E75)</f>
        <v>45682</v>
      </c>
      <c r="G75" s="2">
        <v>45678</v>
      </c>
      <c r="H75" s="6">
        <f t="shared" si="2"/>
        <v>2</v>
      </c>
      <c r="I75" s="6">
        <f t="shared" si="3"/>
        <v>-4</v>
      </c>
      <c r="J75" s="2" t="s">
        <v>8</v>
      </c>
    </row>
    <row r="76" spans="1:12" x14ac:dyDescent="0.25">
      <c r="A76" s="3">
        <v>39516</v>
      </c>
      <c r="B76" s="2" t="s">
        <v>38</v>
      </c>
      <c r="C76" t="s">
        <v>50</v>
      </c>
      <c r="D76" t="s">
        <v>208</v>
      </c>
      <c r="E76" s="2">
        <v>45676</v>
      </c>
      <c r="F76" s="2" cm="1">
        <f t="array" ref="F76">_xlfn.IFS(B76="Owner Surrender",E76,B76="Stray",E76+6,B76="Stray w/identification",E76+11,B76="Bite",E76+10,B76="Other",E76+30,B76="BAS",E76+56,B76="Seized",E76)</f>
        <v>45682</v>
      </c>
      <c r="G76" s="2">
        <v>45686</v>
      </c>
      <c r="H76" s="6">
        <f t="shared" si="2"/>
        <v>10</v>
      </c>
      <c r="I76" s="6">
        <f t="shared" si="3"/>
        <v>4</v>
      </c>
      <c r="J76" s="2" t="s">
        <v>31</v>
      </c>
    </row>
    <row r="77" spans="1:12" x14ac:dyDescent="0.25">
      <c r="A77" s="3">
        <v>39517</v>
      </c>
      <c r="B77" s="2" t="s">
        <v>180</v>
      </c>
      <c r="C77" t="s">
        <v>422</v>
      </c>
      <c r="D77" t="s">
        <v>208</v>
      </c>
      <c r="E77" s="2">
        <v>45675</v>
      </c>
      <c r="F77" s="2" cm="1">
        <f t="array" ref="F77">_xlfn.IFS(B77="Owner Surrender",E77,B77="Stray",E77+6,B77="Stray w/identification",E77+11,B77="Bite",E77+10,B77="Other",E77+30,B77="BAS",E77+56,B77="Seized",E77)</f>
        <v>45686</v>
      </c>
      <c r="G77" s="2">
        <v>45677</v>
      </c>
      <c r="H77" s="6">
        <f t="shared" si="2"/>
        <v>2</v>
      </c>
      <c r="I77" s="6">
        <f t="shared" si="3"/>
        <v>-9</v>
      </c>
      <c r="J77" s="2" t="s">
        <v>8</v>
      </c>
    </row>
    <row r="78" spans="1:12" x14ac:dyDescent="0.25">
      <c r="A78" s="3">
        <v>39518</v>
      </c>
      <c r="B78" s="2" t="s">
        <v>38</v>
      </c>
      <c r="C78" t="s">
        <v>247</v>
      </c>
      <c r="D78" t="s">
        <v>208</v>
      </c>
      <c r="E78" s="2">
        <v>45677</v>
      </c>
      <c r="F78" s="2" cm="1">
        <f t="array" ref="F78">_xlfn.IFS(B78="Owner Surrender",E78,B78="Stray",E78+6,B78="Stray w/identification",E78+11,B78="Bite",E78+10,B78="Other",E78+30,B78="BAS",E78+56,B78="Seized",E78)</f>
        <v>45683</v>
      </c>
      <c r="G78" s="2">
        <v>45685</v>
      </c>
      <c r="H78" s="6">
        <f t="shared" si="2"/>
        <v>8</v>
      </c>
      <c r="I78" s="6">
        <f t="shared" si="3"/>
        <v>2</v>
      </c>
      <c r="J78" s="2" t="s">
        <v>31</v>
      </c>
      <c r="K78" t="s">
        <v>257</v>
      </c>
    </row>
    <row r="79" spans="1:12" x14ac:dyDescent="0.25">
      <c r="A79" s="3">
        <v>39519</v>
      </c>
      <c r="B79" s="2" t="s">
        <v>36</v>
      </c>
      <c r="C79" t="s">
        <v>111</v>
      </c>
      <c r="D79" t="s">
        <v>211</v>
      </c>
      <c r="E79" s="2">
        <v>45677</v>
      </c>
      <c r="F79" s="2" cm="1">
        <f t="array" ref="F79">_xlfn.IFS(B79="Owner Surrender",E79,B79="Stray",E79+6,B79="Stray w/identification",E79+11,B79="Bite",E79+10,B79="Other",E79+30,B79="BAS",E79+56,B79="Seized",E79)</f>
        <v>45677</v>
      </c>
      <c r="G79" s="2">
        <v>45677</v>
      </c>
      <c r="H79" s="6">
        <f t="shared" si="2"/>
        <v>0</v>
      </c>
      <c r="I79" s="6">
        <f t="shared" si="3"/>
        <v>0</v>
      </c>
      <c r="J79" s="2" t="s">
        <v>31</v>
      </c>
      <c r="L79" t="s">
        <v>425</v>
      </c>
    </row>
    <row r="80" spans="1:12" x14ac:dyDescent="0.25">
      <c r="A80" s="3">
        <v>39520</v>
      </c>
      <c r="B80" s="2" t="s">
        <v>38</v>
      </c>
      <c r="C80" t="s">
        <v>71</v>
      </c>
      <c r="D80" t="s">
        <v>208</v>
      </c>
      <c r="E80" s="2">
        <v>45677</v>
      </c>
      <c r="F80" s="2" cm="1">
        <f t="array" ref="F80">_xlfn.IFS(B80="Owner Surrender",E80,B80="Stray",E80+6,B80="Stray w/identification",E80+11,B80="Bite",E80+10,B80="Other",E80+30,B80="BAS",E80+56,B80="Seized",E80)</f>
        <v>45683</v>
      </c>
      <c r="G80" s="2">
        <v>45679</v>
      </c>
      <c r="H80" s="6">
        <f t="shared" si="2"/>
        <v>2</v>
      </c>
      <c r="I80" s="6">
        <f t="shared" si="3"/>
        <v>-4</v>
      </c>
      <c r="J80" s="2" t="s">
        <v>8</v>
      </c>
    </row>
    <row r="81" spans="1:12" x14ac:dyDescent="0.25">
      <c r="A81" s="3">
        <v>39523</v>
      </c>
      <c r="B81" s="2" t="s">
        <v>36</v>
      </c>
      <c r="C81" t="s">
        <v>79</v>
      </c>
      <c r="D81" t="s">
        <v>210</v>
      </c>
      <c r="E81" s="2">
        <v>45678</v>
      </c>
      <c r="F81" s="2" cm="1">
        <f t="array" ref="F81">_xlfn.IFS(B81="Owner Surrender",E81,B81="Stray",E81+6,B81="Stray w/identification",E81+11,B81="Bite",E81+10,B81="Other",E81+30,B81="BAS",E81+56,B81="Seized",E81)</f>
        <v>45678</v>
      </c>
      <c r="G81" s="2">
        <v>45680</v>
      </c>
      <c r="H81" s="6">
        <f t="shared" si="2"/>
        <v>2</v>
      </c>
      <c r="I81" s="6">
        <f t="shared" si="3"/>
        <v>2</v>
      </c>
      <c r="J81" s="2" t="s">
        <v>18</v>
      </c>
    </row>
    <row r="82" spans="1:12" x14ac:dyDescent="0.25">
      <c r="A82" s="3">
        <v>39524</v>
      </c>
      <c r="B82" s="2" t="s">
        <v>180</v>
      </c>
      <c r="C82" t="s">
        <v>247</v>
      </c>
      <c r="D82" t="s">
        <v>208</v>
      </c>
      <c r="E82" s="2">
        <v>45678</v>
      </c>
      <c r="F82" s="2" cm="1">
        <f t="array" ref="F82">_xlfn.IFS(B82="Owner Surrender",E82,B82="Stray",E82+6,B82="Stray w/identification",E82+11,B82="Bite",E82+10,B82="Other",E82+30,B82="BAS",E82+56,B82="Seized",E82)</f>
        <v>45689</v>
      </c>
      <c r="G82" s="2">
        <v>45692</v>
      </c>
      <c r="H82" s="6">
        <f t="shared" si="2"/>
        <v>14</v>
      </c>
      <c r="I82" s="6">
        <f t="shared" si="3"/>
        <v>3</v>
      </c>
      <c r="J82" s="2" t="s">
        <v>31</v>
      </c>
      <c r="L82" t="s">
        <v>256</v>
      </c>
    </row>
    <row r="83" spans="1:12" x14ac:dyDescent="0.25">
      <c r="A83" s="3">
        <v>39533</v>
      </c>
      <c r="B83" s="2" t="s">
        <v>36</v>
      </c>
      <c r="C83" t="s">
        <v>73</v>
      </c>
      <c r="D83" t="s">
        <v>208</v>
      </c>
      <c r="E83" s="2">
        <v>45679</v>
      </c>
      <c r="F83" s="2" cm="1">
        <f t="array" ref="F83">_xlfn.IFS(B83="Owner Surrender",E83,B83="Stray",E83+6,B83="Stray w/identification",E83+11,B83="Bite",E83+10,B83="Other",E83+30,B83="BAS",E83+56,B83="Seized",E83)</f>
        <v>45679</v>
      </c>
      <c r="G83" s="2">
        <v>45699</v>
      </c>
      <c r="H83" s="6">
        <f t="shared" si="2"/>
        <v>20</v>
      </c>
      <c r="I83" s="6">
        <f t="shared" si="3"/>
        <v>20</v>
      </c>
      <c r="J83" s="2" t="s">
        <v>31</v>
      </c>
    </row>
    <row r="84" spans="1:12" x14ac:dyDescent="0.25">
      <c r="A84" s="3">
        <v>39534</v>
      </c>
      <c r="B84" s="2" t="s">
        <v>36</v>
      </c>
      <c r="C84" t="s">
        <v>426</v>
      </c>
      <c r="D84" t="s">
        <v>210</v>
      </c>
      <c r="E84" s="2">
        <v>45679</v>
      </c>
      <c r="F84" s="2" cm="1">
        <f t="array" ref="F84">_xlfn.IFS(B84="Owner Surrender",E84,B84="Stray",E84+6,B84="Stray w/identification",E84+11,B84="Bite",E84+10,B84="Other",E84+30,B84="BAS",E84+56,B84="Seized",E84)</f>
        <v>45679</v>
      </c>
      <c r="G84" s="2">
        <v>45680</v>
      </c>
      <c r="H84" s="6">
        <f t="shared" si="2"/>
        <v>1</v>
      </c>
      <c r="I84" s="6">
        <f t="shared" si="3"/>
        <v>1</v>
      </c>
      <c r="J84" s="2" t="s">
        <v>18</v>
      </c>
      <c r="K84" t="s">
        <v>427</v>
      </c>
    </row>
    <row r="85" spans="1:12" x14ac:dyDescent="0.25">
      <c r="A85" s="3">
        <v>39535</v>
      </c>
      <c r="B85" s="2" t="s">
        <v>180</v>
      </c>
      <c r="C85" t="s">
        <v>254</v>
      </c>
      <c r="D85" t="s">
        <v>208</v>
      </c>
      <c r="E85" s="2">
        <v>45679</v>
      </c>
      <c r="F85" s="2" cm="1">
        <f t="array" ref="F85">_xlfn.IFS(B85="Owner Surrender",E85,B85="Stray",E85+6,B85="Stray w/identification",E85+11,B85="Bite",E85+10,B85="Other",E85+30,B85="BAS",E85+56,B85="Seized",E85)</f>
        <v>45690</v>
      </c>
      <c r="G85" s="2">
        <v>45692</v>
      </c>
      <c r="H85" s="6">
        <f t="shared" si="2"/>
        <v>13</v>
      </c>
      <c r="I85" s="6">
        <f t="shared" si="3"/>
        <v>2</v>
      </c>
      <c r="J85" s="2" t="s">
        <v>31</v>
      </c>
      <c r="L85" t="s">
        <v>255</v>
      </c>
    </row>
    <row r="86" spans="1:12" x14ac:dyDescent="0.25">
      <c r="A86" s="3">
        <v>39537</v>
      </c>
      <c r="B86" s="2" t="s">
        <v>36</v>
      </c>
      <c r="C86" t="s">
        <v>252</v>
      </c>
      <c r="D86" t="s">
        <v>208</v>
      </c>
      <c r="E86" s="2">
        <v>45680</v>
      </c>
      <c r="F86" s="2" cm="1">
        <f t="array" ref="F86">_xlfn.IFS(B86="Owner Surrender",E86,B86="Stray",E86+6,B86="Stray w/identification",E86+11,B86="Bite",E86+10,B86="Other",E86+30,B86="BAS",E86+56,B86="Seized",E86)</f>
        <v>45680</v>
      </c>
      <c r="G86" s="2">
        <v>45685</v>
      </c>
      <c r="H86" s="6">
        <f t="shared" si="2"/>
        <v>5</v>
      </c>
      <c r="I86" s="6">
        <f t="shared" si="3"/>
        <v>5</v>
      </c>
      <c r="J86" s="2" t="s">
        <v>31</v>
      </c>
      <c r="K86" t="s">
        <v>253</v>
      </c>
    </row>
    <row r="87" spans="1:12" x14ac:dyDescent="0.25">
      <c r="A87" s="3">
        <v>39540</v>
      </c>
      <c r="B87" s="2" t="s">
        <v>36</v>
      </c>
      <c r="C87" t="s">
        <v>50</v>
      </c>
      <c r="D87" t="s">
        <v>208</v>
      </c>
      <c r="E87" s="2">
        <v>45681</v>
      </c>
      <c r="F87" s="2" cm="1">
        <f t="array" ref="F87">_xlfn.IFS(B87="Owner Surrender",E87,B87="Stray",E87+6,B87="Stray w/identification",E87+11,B87="Bite",E87+10,B87="Other",E87+30,B87="BAS",E87+56,B87="Seized",E87)</f>
        <v>45681</v>
      </c>
      <c r="G87" s="2">
        <v>45701</v>
      </c>
      <c r="H87" s="6">
        <f t="shared" si="2"/>
        <v>20</v>
      </c>
      <c r="I87" s="6">
        <f t="shared" si="3"/>
        <v>20</v>
      </c>
      <c r="J87" s="2" t="s">
        <v>18</v>
      </c>
      <c r="K87" t="s">
        <v>428</v>
      </c>
    </row>
    <row r="88" spans="1:12" x14ac:dyDescent="0.25">
      <c r="A88" s="3">
        <v>39541</v>
      </c>
      <c r="B88" s="2" t="s">
        <v>36</v>
      </c>
      <c r="C88" t="s">
        <v>109</v>
      </c>
      <c r="D88" t="s">
        <v>209</v>
      </c>
      <c r="E88" s="2">
        <v>45681</v>
      </c>
      <c r="F88" s="2" cm="1">
        <f t="array" ref="F88">_xlfn.IFS(B88="Owner Surrender",E88,B88="Stray",E88+6,B88="Stray w/identification",E88+11,B88="Bite",E88+10,B88="Other",E88+30,B88="BAS",E88+56,B88="Seized",E88)</f>
        <v>45681</v>
      </c>
      <c r="G88" s="2">
        <v>45685</v>
      </c>
      <c r="H88" s="6">
        <f t="shared" si="2"/>
        <v>4</v>
      </c>
      <c r="I88" s="6">
        <f t="shared" si="3"/>
        <v>4</v>
      </c>
      <c r="J88" s="2" t="s">
        <v>11</v>
      </c>
    </row>
    <row r="89" spans="1:12" x14ac:dyDescent="0.25">
      <c r="A89" s="3">
        <v>39542</v>
      </c>
      <c r="B89" s="2" t="s">
        <v>36</v>
      </c>
      <c r="C89" t="s">
        <v>109</v>
      </c>
      <c r="D89" t="s">
        <v>209</v>
      </c>
      <c r="E89" s="2">
        <v>45681</v>
      </c>
      <c r="F89" s="2" cm="1">
        <f t="array" ref="F89">_xlfn.IFS(B89="Owner Surrender",E89,B89="Stray",E89+6,B89="Stray w/identification",E89+11,B89="Bite",E89+10,B89="Other",E89+30,B89="BAS",E89+56,B89="Seized",E89)</f>
        <v>45681</v>
      </c>
      <c r="G89" s="2">
        <v>45701</v>
      </c>
      <c r="H89" s="6">
        <f t="shared" si="2"/>
        <v>20</v>
      </c>
      <c r="I89" s="6">
        <f t="shared" si="3"/>
        <v>20</v>
      </c>
      <c r="J89" s="2" t="s">
        <v>11</v>
      </c>
      <c r="K89" t="s">
        <v>241</v>
      </c>
    </row>
    <row r="90" spans="1:12" x14ac:dyDescent="0.25">
      <c r="A90" s="3">
        <v>39543</v>
      </c>
      <c r="B90" s="2" t="s">
        <v>38</v>
      </c>
      <c r="C90" t="s">
        <v>50</v>
      </c>
      <c r="D90" t="s">
        <v>209</v>
      </c>
      <c r="E90" s="2">
        <v>45681</v>
      </c>
      <c r="F90" s="2" cm="1">
        <f t="array" ref="F90">_xlfn.IFS(B90="Owner Surrender",E90,B90="Stray",E90+6,B90="Stray w/identification",E90+11,B90="Bite",E90+10,B90="Other",E90+30,B90="BAS",E90+56,B90="Seized",E90)</f>
        <v>45687</v>
      </c>
      <c r="G90" s="2">
        <v>45702</v>
      </c>
      <c r="H90" s="6">
        <f t="shared" si="2"/>
        <v>21</v>
      </c>
      <c r="I90" s="6">
        <f t="shared" si="3"/>
        <v>15</v>
      </c>
      <c r="J90" s="2" t="s">
        <v>11</v>
      </c>
      <c r="K90" t="s">
        <v>240</v>
      </c>
    </row>
    <row r="91" spans="1:12" x14ac:dyDescent="0.25">
      <c r="A91" s="3">
        <v>39544</v>
      </c>
      <c r="B91" s="2" t="s">
        <v>38</v>
      </c>
      <c r="C91" t="s">
        <v>236</v>
      </c>
      <c r="D91" t="s">
        <v>208</v>
      </c>
      <c r="E91" s="2">
        <v>45682</v>
      </c>
      <c r="F91" s="2" cm="1">
        <f t="array" ref="F91">_xlfn.IFS(B91="Owner Surrender",E91,B91="Stray",E91+6,B91="Stray w/identification",E91+11,B91="Bite",E91+10,B91="Other",E91+30,B91="BAS",E91+56,B91="Seized",E91)</f>
        <v>45688</v>
      </c>
      <c r="G91" s="2">
        <v>45692</v>
      </c>
      <c r="H91" s="6">
        <f t="shared" si="2"/>
        <v>10</v>
      </c>
      <c r="I91" s="6">
        <f t="shared" si="3"/>
        <v>4</v>
      </c>
      <c r="J91" s="2" t="s">
        <v>11</v>
      </c>
    </row>
    <row r="92" spans="1:12" x14ac:dyDescent="0.25">
      <c r="A92" s="3">
        <v>39545</v>
      </c>
      <c r="B92" s="2" t="s">
        <v>36</v>
      </c>
      <c r="C92" t="s">
        <v>247</v>
      </c>
      <c r="D92" t="s">
        <v>208</v>
      </c>
      <c r="E92" s="2">
        <v>45682</v>
      </c>
      <c r="F92" s="2" cm="1">
        <f t="array" ref="F92">_xlfn.IFS(B92="Owner Surrender",E92,B92="Stray",E92+6,B92="Stray w/identification",E92+11,B92="Bite",E92+10,B92="Other",E92+30,B92="BAS",E92+56,B92="Seized",E92)</f>
        <v>45682</v>
      </c>
      <c r="G92" s="2">
        <v>45685</v>
      </c>
      <c r="H92" s="6">
        <f t="shared" si="2"/>
        <v>3</v>
      </c>
      <c r="I92" s="6">
        <f t="shared" si="3"/>
        <v>3</v>
      </c>
      <c r="J92" s="2" t="s">
        <v>31</v>
      </c>
      <c r="K92" t="s">
        <v>251</v>
      </c>
    </row>
    <row r="93" spans="1:12" x14ac:dyDescent="0.25">
      <c r="A93" s="3">
        <v>39546</v>
      </c>
      <c r="B93" s="2" t="s">
        <v>180</v>
      </c>
      <c r="C93" t="s">
        <v>250</v>
      </c>
      <c r="D93" t="s">
        <v>208</v>
      </c>
      <c r="E93" s="2">
        <v>45682</v>
      </c>
      <c r="F93" s="2" cm="1">
        <f t="array" ref="F93">_xlfn.IFS(B93="Owner Surrender",E93,B93="Stray",E93+6,B93="Stray w/identification",E93+11,B93="Bite",E93+10,B93="Other",E93+30,B93="BAS",E93+56,B93="Seized",E93)</f>
        <v>45693</v>
      </c>
      <c r="G93" s="2">
        <v>45723</v>
      </c>
      <c r="H93" s="6">
        <f t="shared" si="2"/>
        <v>41</v>
      </c>
      <c r="I93" s="6">
        <f t="shared" si="3"/>
        <v>30</v>
      </c>
      <c r="J93" s="2" t="s">
        <v>31</v>
      </c>
    </row>
    <row r="94" spans="1:12" x14ac:dyDescent="0.25">
      <c r="A94" s="3">
        <v>39547</v>
      </c>
      <c r="B94" s="2" t="s">
        <v>38</v>
      </c>
      <c r="C94" t="s">
        <v>250</v>
      </c>
      <c r="D94" t="s">
        <v>208</v>
      </c>
      <c r="E94" s="2">
        <v>45682</v>
      </c>
      <c r="F94" s="2" cm="1">
        <f t="array" ref="F94">_xlfn.IFS(B94="Owner Surrender",E94,B94="Stray",E94+6,B94="Stray w/identification",E94+11,B94="Bite",E94+10,B94="Other",E94+30,B94="BAS",E94+56,B94="Seized",E94)</f>
        <v>45688</v>
      </c>
      <c r="G94" s="2">
        <v>45699</v>
      </c>
      <c r="H94" s="6">
        <f t="shared" si="2"/>
        <v>17</v>
      </c>
      <c r="I94" s="6">
        <f t="shared" si="3"/>
        <v>11</v>
      </c>
      <c r="J94" s="2" t="s">
        <v>31</v>
      </c>
    </row>
    <row r="95" spans="1:12" x14ac:dyDescent="0.25">
      <c r="A95" s="1">
        <v>39548</v>
      </c>
      <c r="B95" s="2" t="s">
        <v>36</v>
      </c>
      <c r="C95" t="s">
        <v>149</v>
      </c>
      <c r="D95" t="s">
        <v>209</v>
      </c>
      <c r="E95" s="2">
        <v>45682</v>
      </c>
      <c r="F95" s="2" cm="1">
        <f t="array" ref="F95">_xlfn.IFS(B95="Owner Surrender",E95,B95="Stray",E95+6,B95="Stray w/identification",E95+11,B95="Bite",E95+10,B95="Other",E95+30,B95="BAS",E95+56,B95="Seized",E95)</f>
        <v>45682</v>
      </c>
      <c r="G95" s="2">
        <v>45733</v>
      </c>
      <c r="H95" s="6">
        <f t="shared" si="2"/>
        <v>51</v>
      </c>
      <c r="I95" s="6">
        <f t="shared" si="3"/>
        <v>51</v>
      </c>
      <c r="J95" s="2" t="s">
        <v>18</v>
      </c>
      <c r="K95" t="s">
        <v>498</v>
      </c>
    </row>
    <row r="96" spans="1:12" x14ac:dyDescent="0.25">
      <c r="A96" s="3">
        <v>39549</v>
      </c>
      <c r="B96" s="2" t="s">
        <v>36</v>
      </c>
      <c r="C96" t="s">
        <v>149</v>
      </c>
      <c r="D96" t="s">
        <v>209</v>
      </c>
      <c r="E96" s="2">
        <v>45682</v>
      </c>
      <c r="F96" s="2" cm="1">
        <f t="array" ref="F96">_xlfn.IFS(B96="Owner Surrender",E96,B96="Stray",E96+6,B96="Stray w/identification",E96+11,B96="Bite",E96+10,B96="Other",E96+30,B96="BAS",E96+56,B96="Seized",E96)</f>
        <v>45682</v>
      </c>
      <c r="G96" s="2">
        <v>45702</v>
      </c>
      <c r="H96" s="6">
        <f t="shared" si="2"/>
        <v>20</v>
      </c>
      <c r="I96" s="6">
        <f t="shared" si="3"/>
        <v>20</v>
      </c>
      <c r="J96" s="2" t="s">
        <v>31</v>
      </c>
    </row>
    <row r="97" spans="1:12" x14ac:dyDescent="0.25">
      <c r="A97" s="3">
        <v>39550</v>
      </c>
      <c r="B97" s="2" t="s">
        <v>36</v>
      </c>
      <c r="C97" t="s">
        <v>149</v>
      </c>
      <c r="D97" t="s">
        <v>209</v>
      </c>
      <c r="E97" s="2">
        <v>45682</v>
      </c>
      <c r="F97" s="2" cm="1">
        <f t="array" ref="F97">_xlfn.IFS(B97="Owner Surrender",E97,B97="Stray",E97+6,B97="Stray w/identification",E97+11,B97="Bite",E97+10,B97="Other",E97+30,B97="BAS",E97+56,B97="Seized",E97)</f>
        <v>45682</v>
      </c>
      <c r="G97" s="2">
        <v>45692</v>
      </c>
      <c r="H97" s="6">
        <f t="shared" si="2"/>
        <v>10</v>
      </c>
      <c r="I97" s="6">
        <f t="shared" si="3"/>
        <v>10</v>
      </c>
      <c r="J97" s="2" t="s">
        <v>11</v>
      </c>
    </row>
    <row r="98" spans="1:12" x14ac:dyDescent="0.25">
      <c r="A98" s="3">
        <v>39551</v>
      </c>
      <c r="B98" s="2" t="s">
        <v>36</v>
      </c>
      <c r="C98" t="s">
        <v>149</v>
      </c>
      <c r="D98" t="s">
        <v>209</v>
      </c>
      <c r="E98" s="2">
        <v>45682</v>
      </c>
      <c r="F98" s="2" cm="1">
        <f t="array" ref="F98">_xlfn.IFS(B98="Owner Surrender",E98,B98="Stray",E98+6,B98="Stray w/identification",E98+11,B98="Bite",E98+10,B98="Other",E98+30,B98="BAS",E98+56,B98="Seized",E98)</f>
        <v>45682</v>
      </c>
      <c r="G98" s="2">
        <v>45712</v>
      </c>
      <c r="H98" s="6">
        <f t="shared" si="2"/>
        <v>30</v>
      </c>
      <c r="I98" s="6">
        <f t="shared" si="3"/>
        <v>30</v>
      </c>
      <c r="J98" s="2" t="s">
        <v>31</v>
      </c>
    </row>
    <row r="99" spans="1:12" x14ac:dyDescent="0.25">
      <c r="A99" s="1">
        <v>39552</v>
      </c>
      <c r="B99" s="2" t="s">
        <v>36</v>
      </c>
      <c r="C99" t="s">
        <v>149</v>
      </c>
      <c r="D99" t="s">
        <v>209</v>
      </c>
      <c r="E99" s="2">
        <v>45682</v>
      </c>
      <c r="F99" s="2" cm="1">
        <f t="array" ref="F99">_xlfn.IFS(B99="Owner Surrender",E99,B99="Stray",E99+6,B99="Stray w/identification",E99+11,B99="Bite",E99+10,B99="Other",E99+30,B99="BAS",E99+56,B99="Seized",E99)</f>
        <v>45682</v>
      </c>
      <c r="G99" s="2">
        <v>45733</v>
      </c>
      <c r="H99" s="6">
        <f t="shared" si="2"/>
        <v>51</v>
      </c>
      <c r="I99" s="6">
        <f t="shared" si="3"/>
        <v>51</v>
      </c>
      <c r="J99" s="2" t="s">
        <v>18</v>
      </c>
      <c r="K99" t="s">
        <v>508</v>
      </c>
    </row>
    <row r="100" spans="1:12" x14ac:dyDescent="0.25">
      <c r="A100" s="3">
        <v>39553</v>
      </c>
      <c r="B100" s="2" t="s">
        <v>38</v>
      </c>
      <c r="C100" t="s">
        <v>73</v>
      </c>
      <c r="D100" t="s">
        <v>209</v>
      </c>
      <c r="E100" s="2">
        <v>45683</v>
      </c>
      <c r="F100" s="2" cm="1">
        <f t="array" ref="F100">_xlfn.IFS(B100="Owner Surrender",E100,B100="Stray",E100+6,B100="Stray w/identification",E100+11,B100="Bite",E100+10,B100="Other",E100+30,B100="BAS",E100+56,B100="Seized",E100)</f>
        <v>45689</v>
      </c>
      <c r="G100" s="2">
        <v>45692</v>
      </c>
      <c r="H100" s="6">
        <f t="shared" si="2"/>
        <v>9</v>
      </c>
      <c r="I100" s="6">
        <f t="shared" si="3"/>
        <v>3</v>
      </c>
      <c r="J100" s="2" t="s">
        <v>11</v>
      </c>
      <c r="K100" s="2"/>
    </row>
    <row r="101" spans="1:12" x14ac:dyDescent="0.25">
      <c r="A101" s="3">
        <v>39554</v>
      </c>
      <c r="B101" s="2" t="s">
        <v>38</v>
      </c>
      <c r="C101" t="s">
        <v>50</v>
      </c>
      <c r="D101" t="s">
        <v>208</v>
      </c>
      <c r="E101" s="2">
        <v>45684</v>
      </c>
      <c r="F101" s="2" cm="1">
        <f t="array" ref="F101">_xlfn.IFS(B101="Owner Surrender",E101,B101="Stray",E101+6,B101="Stray w/identification",E101+11,B101="Bite",E101+10,B101="Other",E101+30,B101="BAS",E101+56,B101="Seized",E101)</f>
        <v>45690</v>
      </c>
      <c r="G101" s="2">
        <v>45692</v>
      </c>
      <c r="H101" s="6">
        <f t="shared" si="2"/>
        <v>8</v>
      </c>
      <c r="I101" s="6">
        <f t="shared" si="3"/>
        <v>2</v>
      </c>
      <c r="J101" s="2" t="s">
        <v>31</v>
      </c>
    </row>
    <row r="102" spans="1:12" x14ac:dyDescent="0.25">
      <c r="A102" s="3">
        <v>39555</v>
      </c>
      <c r="B102" s="2" t="s">
        <v>38</v>
      </c>
      <c r="C102" t="s">
        <v>73</v>
      </c>
      <c r="D102" t="s">
        <v>209</v>
      </c>
      <c r="E102" s="2">
        <v>45683</v>
      </c>
      <c r="F102" s="2" cm="1">
        <f t="array" ref="F102">_xlfn.IFS(B102="Owner Surrender",E102,B102="Stray",E102+6,B102="Stray w/identification",E102+11,B102="Bite",E102+10,B102="Other",E102+30,B102="BAS",E102+56,B102="Seized",E102)</f>
        <v>45689</v>
      </c>
      <c r="G102" s="2">
        <v>45714</v>
      </c>
      <c r="H102" s="6">
        <f t="shared" si="2"/>
        <v>31</v>
      </c>
      <c r="I102" s="6">
        <f t="shared" si="3"/>
        <v>25</v>
      </c>
      <c r="J102" s="2" t="s">
        <v>31</v>
      </c>
      <c r="K102" t="s">
        <v>283</v>
      </c>
    </row>
    <row r="103" spans="1:12" x14ac:dyDescent="0.25">
      <c r="A103" s="3">
        <v>39557</v>
      </c>
      <c r="B103" s="2" t="s">
        <v>36</v>
      </c>
      <c r="C103" t="s">
        <v>76</v>
      </c>
      <c r="D103" t="s">
        <v>208</v>
      </c>
      <c r="E103" s="2">
        <v>45684</v>
      </c>
      <c r="F103" s="2" cm="1">
        <f t="array" ref="F103">_xlfn.IFS(B103="Owner Surrender",E103,B103="Stray",E103+6,B103="Stray w/identification",E103+11,B103="Bite",E103+10,B103="Other",E103+30,B103="BAS",E103+56,B103="Seized",E103)</f>
        <v>45684</v>
      </c>
      <c r="G103" s="2">
        <v>45686</v>
      </c>
      <c r="H103" s="6">
        <f t="shared" si="2"/>
        <v>2</v>
      </c>
      <c r="I103" s="6">
        <f t="shared" si="3"/>
        <v>2</v>
      </c>
      <c r="J103" s="2" t="s">
        <v>31</v>
      </c>
      <c r="K103" t="s">
        <v>249</v>
      </c>
    </row>
    <row r="104" spans="1:12" x14ac:dyDescent="0.25">
      <c r="A104" s="3">
        <v>39558</v>
      </c>
      <c r="B104" s="2" t="s">
        <v>36</v>
      </c>
      <c r="C104" t="s">
        <v>247</v>
      </c>
      <c r="D104" t="s">
        <v>208</v>
      </c>
      <c r="E104" s="2">
        <v>45684</v>
      </c>
      <c r="F104" s="2" cm="1">
        <f t="array" ref="F104">_xlfn.IFS(B104="Owner Surrender",E104,B104="Stray",E104+6,B104="Stray w/identification",E104+11,B104="Bite",E104+10,B104="Other",E104+30,B104="BAS",E104+56,B104="Seized",E104)</f>
        <v>45684</v>
      </c>
      <c r="G104" s="2">
        <v>45684</v>
      </c>
      <c r="H104" s="6">
        <f t="shared" si="2"/>
        <v>0</v>
      </c>
      <c r="I104" s="6">
        <f t="shared" si="3"/>
        <v>0</v>
      </c>
      <c r="J104" s="2" t="s">
        <v>31</v>
      </c>
      <c r="L104" t="s">
        <v>248</v>
      </c>
    </row>
    <row r="105" spans="1:12" x14ac:dyDescent="0.25">
      <c r="A105" s="3">
        <v>39560</v>
      </c>
      <c r="B105" s="2" t="s">
        <v>61</v>
      </c>
      <c r="C105" t="s">
        <v>429</v>
      </c>
      <c r="D105" t="s">
        <v>208</v>
      </c>
      <c r="E105" s="2">
        <v>45684</v>
      </c>
      <c r="F105" s="2" cm="1">
        <f t="array" ref="F105">_xlfn.IFS(B105="Owner Surrender",E105,B105="Stray",E105+6,B105="Stray w/identification",E105+11,B105="Bite",E105+10,B105="Other",E105+30,B105="BAS",E105+56,B105="Seized",E105)</f>
        <v>45714</v>
      </c>
      <c r="G105" s="2">
        <v>45691</v>
      </c>
      <c r="H105" s="6">
        <f t="shared" si="2"/>
        <v>7</v>
      </c>
      <c r="I105" s="6">
        <f t="shared" si="3"/>
        <v>-23</v>
      </c>
      <c r="J105" s="2" t="s">
        <v>8</v>
      </c>
    </row>
    <row r="106" spans="1:12" x14ac:dyDescent="0.25">
      <c r="A106" s="3">
        <v>39561</v>
      </c>
      <c r="B106" s="2" t="s">
        <v>36</v>
      </c>
      <c r="C106" t="s">
        <v>96</v>
      </c>
      <c r="D106" t="s">
        <v>208</v>
      </c>
      <c r="E106" s="2">
        <v>45685</v>
      </c>
      <c r="F106" s="2" cm="1">
        <f t="array" ref="F106">_xlfn.IFS(B106="Owner Surrender",E106,B106="Stray",E106+6,B106="Stray w/identification",E106+11,B106="Bite",E106+10,B106="Other",E106+30,B106="BAS",E106+56,B106="Seized",E106)</f>
        <v>45685</v>
      </c>
      <c r="G106" s="2">
        <v>45692</v>
      </c>
      <c r="H106" s="6">
        <f t="shared" si="2"/>
        <v>7</v>
      </c>
      <c r="I106" s="6">
        <f t="shared" si="3"/>
        <v>7</v>
      </c>
      <c r="J106" s="2" t="s">
        <v>11</v>
      </c>
      <c r="K106" t="s">
        <v>237</v>
      </c>
    </row>
    <row r="107" spans="1:12" x14ac:dyDescent="0.25">
      <c r="A107" s="3">
        <v>39562</v>
      </c>
      <c r="B107" s="2" t="s">
        <v>36</v>
      </c>
      <c r="C107" t="s">
        <v>149</v>
      </c>
      <c r="D107" t="s">
        <v>209</v>
      </c>
      <c r="E107" s="2">
        <v>45685</v>
      </c>
      <c r="F107" s="2" cm="1">
        <f t="array" ref="F107">_xlfn.IFS(B107="Owner Surrender",E107,B107="Stray",E107+6,B107="Stray w/identification",E107+11,B107="Bite",E107+10,B107="Other",E107+30,B107="BAS",E107+56,B107="Seized",E107)</f>
        <v>45685</v>
      </c>
      <c r="G107" s="2">
        <v>45686</v>
      </c>
      <c r="H107" s="6">
        <f t="shared" si="2"/>
        <v>1</v>
      </c>
      <c r="I107" s="6">
        <f t="shared" si="3"/>
        <v>1</v>
      </c>
      <c r="J107" s="2" t="s">
        <v>31</v>
      </c>
    </row>
    <row r="108" spans="1:12" x14ac:dyDescent="0.25">
      <c r="A108" s="3">
        <v>39563</v>
      </c>
      <c r="B108" s="2" t="s">
        <v>36</v>
      </c>
      <c r="C108" t="s">
        <v>149</v>
      </c>
      <c r="D108" t="s">
        <v>209</v>
      </c>
      <c r="E108" s="2">
        <v>45685</v>
      </c>
      <c r="F108" s="2" cm="1">
        <f t="array" ref="F108">_xlfn.IFS(B108="Owner Surrender",E108,B108="Stray",E108+6,B108="Stray w/identification",E108+11,B108="Bite",E108+10,B108="Other",E108+30,B108="BAS",E108+56,B108="Seized",E108)</f>
        <v>45685</v>
      </c>
      <c r="G108" s="2">
        <v>45686</v>
      </c>
      <c r="H108" s="6">
        <f t="shared" si="2"/>
        <v>1</v>
      </c>
      <c r="I108" s="6">
        <f t="shared" si="3"/>
        <v>1</v>
      </c>
      <c r="J108" s="2" t="s">
        <v>31</v>
      </c>
    </row>
    <row r="109" spans="1:12" x14ac:dyDescent="0.25">
      <c r="A109" s="3">
        <v>39567</v>
      </c>
      <c r="B109" s="2" t="s">
        <v>53</v>
      </c>
      <c r="C109" t="s">
        <v>109</v>
      </c>
      <c r="D109" t="s">
        <v>208</v>
      </c>
      <c r="E109" s="2">
        <v>45686</v>
      </c>
      <c r="F109" s="2" cm="1">
        <f t="array" ref="F109">_xlfn.IFS(B109="Owner Surrender",E109,B109="Stray",E109+6,B109="Stray w/identification",E109+11,B109="Bite",E109+10,B109="Other",E109+30,B109="BAS",E109+56,B109="Seized",E109)</f>
        <v>45686</v>
      </c>
      <c r="G109" s="2">
        <v>45791</v>
      </c>
      <c r="H109" s="6">
        <f t="shared" si="2"/>
        <v>105</v>
      </c>
      <c r="I109" s="6">
        <f t="shared" si="3"/>
        <v>105</v>
      </c>
      <c r="J109" s="2" t="s">
        <v>18</v>
      </c>
      <c r="K109" t="s">
        <v>430</v>
      </c>
      <c r="L109" t="s">
        <v>431</v>
      </c>
    </row>
    <row r="110" spans="1:12" x14ac:dyDescent="0.25">
      <c r="A110" s="3">
        <v>39568</v>
      </c>
      <c r="B110" s="2" t="s">
        <v>53</v>
      </c>
      <c r="C110" t="s">
        <v>56</v>
      </c>
      <c r="D110" t="s">
        <v>208</v>
      </c>
      <c r="E110" s="2">
        <v>45686</v>
      </c>
      <c r="F110" s="2" cm="1">
        <f t="array" ref="F110">_xlfn.IFS(B110="Owner Surrender",E110,B110="Stray",E110+6,B110="Stray w/identification",E110+11,B110="Bite",E110+10,B110="Other",E110+30,B110="BAS",E110+56,B110="Seized",E110)</f>
        <v>45686</v>
      </c>
      <c r="G110" s="2">
        <v>45807</v>
      </c>
      <c r="H110" s="6">
        <f t="shared" si="2"/>
        <v>121</v>
      </c>
      <c r="I110" s="6">
        <f t="shared" si="3"/>
        <v>121</v>
      </c>
      <c r="J110" s="2" t="s">
        <v>31</v>
      </c>
      <c r="K110" s="2"/>
    </row>
    <row r="111" spans="1:12" x14ac:dyDescent="0.25">
      <c r="A111" s="3">
        <v>39569</v>
      </c>
      <c r="B111" s="2" t="s">
        <v>53</v>
      </c>
      <c r="C111" t="s">
        <v>56</v>
      </c>
      <c r="D111" t="s">
        <v>208</v>
      </c>
      <c r="E111" s="2">
        <v>45686</v>
      </c>
      <c r="F111" s="2" cm="1">
        <f t="array" ref="F111">_xlfn.IFS(B111="Owner Surrender",E111,B111="Stray",E111+6,B111="Stray w/identification",E111+11,B111="Bite",E111+10,B111="Other",E111+30,B111="BAS",E111+56,B111="Seized",E111)</f>
        <v>45686</v>
      </c>
      <c r="G111" s="2">
        <v>45826</v>
      </c>
      <c r="H111" s="6">
        <f t="shared" si="2"/>
        <v>140</v>
      </c>
      <c r="I111" s="6">
        <f t="shared" si="3"/>
        <v>140</v>
      </c>
      <c r="J111" s="2" t="s">
        <v>31</v>
      </c>
      <c r="K111" s="2" t="s">
        <v>432</v>
      </c>
      <c r="L111" t="s">
        <v>431</v>
      </c>
    </row>
    <row r="112" spans="1:12" x14ac:dyDescent="0.25">
      <c r="A112" s="3">
        <v>39570</v>
      </c>
      <c r="B112" s="2" t="s">
        <v>53</v>
      </c>
      <c r="C112" t="s">
        <v>96</v>
      </c>
      <c r="D112" t="s">
        <v>208</v>
      </c>
      <c r="E112" s="2">
        <v>45686</v>
      </c>
      <c r="F112" s="2" cm="1">
        <f t="array" ref="F112">_xlfn.IFS(B112="Owner Surrender",E112,B112="Stray",E112+6,B112="Stray w/identification",E112+11,B112="Bite",E112+10,B112="Other",E112+30,B112="BAS",E112+56,B112="Seized",E112)</f>
        <v>45686</v>
      </c>
      <c r="G112" s="2">
        <v>45730</v>
      </c>
      <c r="H112" s="6">
        <f t="shared" si="2"/>
        <v>44</v>
      </c>
      <c r="I112" s="6">
        <f t="shared" si="3"/>
        <v>44</v>
      </c>
      <c r="J112" s="2" t="s">
        <v>18</v>
      </c>
      <c r="K112" s="2" t="s">
        <v>433</v>
      </c>
      <c r="L112" t="s">
        <v>431</v>
      </c>
    </row>
    <row r="113" spans="1:12" x14ac:dyDescent="0.25">
      <c r="A113" s="3">
        <v>39571</v>
      </c>
      <c r="B113" s="2" t="s">
        <v>36</v>
      </c>
      <c r="C113" t="s">
        <v>149</v>
      </c>
      <c r="D113" t="s">
        <v>209</v>
      </c>
      <c r="E113" s="2">
        <v>45686</v>
      </c>
      <c r="F113" s="2" cm="1">
        <f t="array" ref="F113">_xlfn.IFS(B113="Owner Surrender",E113,B113="Stray",E113+6,B113="Stray w/identification",E113+11,B113="Bite",E113+10,B113="Other",E113+30,B113="BAS",E113+56,B113="Seized",E113)</f>
        <v>45686</v>
      </c>
      <c r="G113" s="2">
        <v>45692</v>
      </c>
      <c r="H113" s="6">
        <f t="shared" si="2"/>
        <v>6</v>
      </c>
      <c r="I113" s="6">
        <f t="shared" si="3"/>
        <v>6</v>
      </c>
      <c r="J113" s="2" t="s">
        <v>31</v>
      </c>
    </row>
    <row r="114" spans="1:12" x14ac:dyDescent="0.25">
      <c r="A114" s="3">
        <v>39572</v>
      </c>
      <c r="B114" s="2" t="s">
        <v>36</v>
      </c>
      <c r="C114" t="s">
        <v>149</v>
      </c>
      <c r="D114" t="s">
        <v>209</v>
      </c>
      <c r="E114" s="2">
        <v>45686</v>
      </c>
      <c r="F114" s="2" cm="1">
        <f t="array" ref="F114">_xlfn.IFS(B114="Owner Surrender",E114,B114="Stray",E114+6,B114="Stray w/identification",E114+11,B114="Bite",E114+10,B114="Other",E114+30,B114="BAS",E114+56,B114="Seized",E114)</f>
        <v>45686</v>
      </c>
      <c r="G114" s="2">
        <v>45692</v>
      </c>
      <c r="H114" s="6">
        <f t="shared" si="2"/>
        <v>6</v>
      </c>
      <c r="I114" s="6">
        <f t="shared" si="3"/>
        <v>6</v>
      </c>
      <c r="J114" s="2" t="s">
        <v>31</v>
      </c>
    </row>
    <row r="115" spans="1:12" x14ac:dyDescent="0.25">
      <c r="A115" s="3">
        <v>39573</v>
      </c>
      <c r="B115" s="2" t="s">
        <v>36</v>
      </c>
      <c r="C115" t="s">
        <v>149</v>
      </c>
      <c r="D115" t="s">
        <v>209</v>
      </c>
      <c r="E115" s="2">
        <v>45686</v>
      </c>
      <c r="F115" s="2" cm="1">
        <f t="array" ref="F115">_xlfn.IFS(B115="Owner Surrender",E115,B115="Stray",E115+6,B115="Stray w/identification",E115+11,B115="Bite",E115+10,B115="Other",E115+30,B115="BAS",E115+56,B115="Seized",E115)</f>
        <v>45686</v>
      </c>
      <c r="G115" s="2">
        <v>45692</v>
      </c>
      <c r="H115" s="6">
        <f t="shared" si="2"/>
        <v>6</v>
      </c>
      <c r="I115" s="6">
        <f t="shared" si="3"/>
        <v>6</v>
      </c>
      <c r="J115" s="2" t="s">
        <v>31</v>
      </c>
    </row>
    <row r="116" spans="1:12" x14ac:dyDescent="0.25">
      <c r="A116" s="3">
        <v>39574</v>
      </c>
      <c r="B116" s="2" t="s">
        <v>36</v>
      </c>
      <c r="C116" t="s">
        <v>149</v>
      </c>
      <c r="D116" t="s">
        <v>209</v>
      </c>
      <c r="E116" s="2">
        <v>45686</v>
      </c>
      <c r="F116" s="2" cm="1">
        <f t="array" ref="F116">_xlfn.IFS(B116="Owner Surrender",E116,B116="Stray",E116+6,B116="Stray w/identification",E116+11,B116="Bite",E116+10,B116="Other",E116+30,B116="BAS",E116+56,B116="Seized",E116)</f>
        <v>45686</v>
      </c>
      <c r="G116" s="2">
        <v>45692</v>
      </c>
      <c r="H116" s="6">
        <f t="shared" si="2"/>
        <v>6</v>
      </c>
      <c r="I116" s="6">
        <f t="shared" si="3"/>
        <v>6</v>
      </c>
      <c r="J116" s="2" t="s">
        <v>31</v>
      </c>
    </row>
    <row r="117" spans="1:12" x14ac:dyDescent="0.25">
      <c r="A117" s="3">
        <v>39576</v>
      </c>
      <c r="B117" s="2" t="s">
        <v>38</v>
      </c>
      <c r="C117" t="s">
        <v>247</v>
      </c>
      <c r="D117" t="s">
        <v>208</v>
      </c>
      <c r="E117" s="2">
        <v>45684</v>
      </c>
      <c r="F117" s="2" cm="1">
        <f t="array" ref="F117">_xlfn.IFS(B117="Owner Surrender",E117,B117="Stray",E117+6,B117="Stray w/identification",E117+11,B117="Bite",E117+10,B117="Other",E117+30,B117="BAS",E117+56,B117="Seized",E117)</f>
        <v>45690</v>
      </c>
      <c r="G117" s="2">
        <v>45699</v>
      </c>
      <c r="H117" s="6">
        <f t="shared" si="2"/>
        <v>15</v>
      </c>
      <c r="I117" s="6">
        <f t="shared" si="3"/>
        <v>9</v>
      </c>
      <c r="J117" s="2" t="s">
        <v>31</v>
      </c>
      <c r="K117" s="2"/>
      <c r="L117" s="2"/>
    </row>
    <row r="118" spans="1:12" x14ac:dyDescent="0.25">
      <c r="A118" s="3">
        <v>39578</v>
      </c>
      <c r="B118" s="2" t="s">
        <v>38</v>
      </c>
      <c r="C118" t="s">
        <v>434</v>
      </c>
      <c r="D118" t="s">
        <v>208</v>
      </c>
      <c r="E118" s="2">
        <v>45688</v>
      </c>
      <c r="F118" s="2" cm="1">
        <f t="array" ref="F118">_xlfn.IFS(B118="Owner Surrender",E118,B118="Stray",E118+6,B118="Stray w/identification",E118+11,B118="Bite",E118+10,B118="Other",E118+30,B118="BAS",E118+56,B118="Seized",E118)</f>
        <v>45694</v>
      </c>
      <c r="G118" s="2">
        <v>45688</v>
      </c>
      <c r="H118" s="6">
        <f t="shared" si="2"/>
        <v>0</v>
      </c>
      <c r="I118" s="6">
        <f t="shared" si="3"/>
        <v>-6</v>
      </c>
      <c r="J118" s="2" t="s">
        <v>8</v>
      </c>
      <c r="K118" s="2"/>
      <c r="L118" s="2"/>
    </row>
    <row r="119" spans="1:12" x14ac:dyDescent="0.25">
      <c r="A119" s="3">
        <v>39579</v>
      </c>
      <c r="B119" s="2" t="s">
        <v>36</v>
      </c>
      <c r="C119" t="s">
        <v>435</v>
      </c>
      <c r="D119" t="s">
        <v>209</v>
      </c>
      <c r="E119" s="2">
        <v>45688</v>
      </c>
      <c r="F119" s="2" cm="1">
        <f t="array" ref="F119">_xlfn.IFS(B119="Owner Surrender",E119,B119="Stray",E119+6,B119="Stray w/identification",E119+11,B119="Bite",E119+10,B119="Other",E119+30,B119="BAS",E119+56,B119="Seized",E119)</f>
        <v>45688</v>
      </c>
      <c r="G119" s="2">
        <v>45701</v>
      </c>
      <c r="H119" s="6">
        <f t="shared" si="2"/>
        <v>13</v>
      </c>
      <c r="I119" s="6">
        <f t="shared" si="3"/>
        <v>13</v>
      </c>
      <c r="J119" s="2" t="s">
        <v>18</v>
      </c>
      <c r="K119" s="2" t="s">
        <v>249</v>
      </c>
      <c r="L119" s="2"/>
    </row>
    <row r="120" spans="1:12" x14ac:dyDescent="0.25">
      <c r="A120" s="3">
        <v>39580</v>
      </c>
      <c r="B120" s="2" t="s">
        <v>38</v>
      </c>
      <c r="C120" t="s">
        <v>238</v>
      </c>
      <c r="D120" t="s">
        <v>208</v>
      </c>
      <c r="E120" s="2">
        <v>45688</v>
      </c>
      <c r="F120" s="2" cm="1">
        <f t="array" ref="F120">_xlfn.IFS(B120="Owner Surrender",E120,B120="Stray",E120+6,B120="Stray w/identification",E120+11,B120="Bite",E120+10,B120="Other",E120+30,B120="BAS",E120+56,B120="Seized",E120)</f>
        <v>45694</v>
      </c>
      <c r="G120" s="2">
        <v>45713</v>
      </c>
      <c r="H120" s="6">
        <f t="shared" si="2"/>
        <v>25</v>
      </c>
      <c r="I120" s="6">
        <f t="shared" si="3"/>
        <v>19</v>
      </c>
      <c r="J120" s="2" t="s">
        <v>11</v>
      </c>
      <c r="K120" t="s">
        <v>157</v>
      </c>
    </row>
    <row r="121" spans="1:12" x14ac:dyDescent="0.25">
      <c r="A121" s="3">
        <v>39581</v>
      </c>
      <c r="B121" s="2" t="s">
        <v>38</v>
      </c>
      <c r="C121" t="s">
        <v>238</v>
      </c>
      <c r="D121" t="s">
        <v>209</v>
      </c>
      <c r="E121" s="2">
        <v>45688</v>
      </c>
      <c r="F121" s="2" cm="1">
        <f t="array" ref="F121">_xlfn.IFS(B121="Owner Surrender",E121,B121="Stray",E121+6,B121="Stray w/identification",E121+11,B121="Bite",E121+10,B121="Other",E121+30,B121="BAS",E121+56,B121="Seized",E121)</f>
        <v>45694</v>
      </c>
      <c r="G121" s="2">
        <v>45700</v>
      </c>
      <c r="H121" s="6">
        <f t="shared" si="2"/>
        <v>12</v>
      </c>
      <c r="I121" s="6">
        <f t="shared" si="3"/>
        <v>6</v>
      </c>
      <c r="J121" s="2" t="s">
        <v>18</v>
      </c>
    </row>
    <row r="122" spans="1:12" x14ac:dyDescent="0.25">
      <c r="A122" s="3">
        <v>39582</v>
      </c>
      <c r="B122" s="2" t="s">
        <v>38</v>
      </c>
      <c r="C122" t="s">
        <v>238</v>
      </c>
      <c r="D122" t="s">
        <v>209</v>
      </c>
      <c r="E122" s="2">
        <v>45688</v>
      </c>
      <c r="F122" s="2" cm="1">
        <f t="array" ref="F122">_xlfn.IFS(B122="Owner Surrender",E122,B122="Stray",E122+6,B122="Stray w/identification",E122+11,B122="Bite",E122+10,B122="Other",E122+30,B122="BAS",E122+56,B122="Seized",E122)</f>
        <v>45694</v>
      </c>
      <c r="G122" s="2">
        <v>45700</v>
      </c>
      <c r="H122" s="6">
        <f t="shared" si="2"/>
        <v>12</v>
      </c>
      <c r="I122" s="6">
        <f t="shared" si="3"/>
        <v>6</v>
      </c>
      <c r="J122" s="2" t="s">
        <v>18</v>
      </c>
    </row>
    <row r="123" spans="1:12" x14ac:dyDescent="0.25">
      <c r="A123" s="3">
        <v>39583</v>
      </c>
      <c r="B123" s="2" t="s">
        <v>38</v>
      </c>
      <c r="C123" t="s">
        <v>238</v>
      </c>
      <c r="D123" t="s">
        <v>209</v>
      </c>
      <c r="E123" s="2">
        <v>45688</v>
      </c>
      <c r="F123" s="2" cm="1">
        <f t="array" ref="F123">_xlfn.IFS(B123="Owner Surrender",E123,B123="Stray",E123+6,B123="Stray w/identification",E123+11,B123="Bite",E123+10,B123="Other",E123+30,B123="BAS",E123+56,B123="Seized",E123)</f>
        <v>45694</v>
      </c>
      <c r="G123" s="2">
        <v>45700</v>
      </c>
      <c r="H123" s="6">
        <f t="shared" si="2"/>
        <v>12</v>
      </c>
      <c r="I123" s="6">
        <f t="shared" si="3"/>
        <v>6</v>
      </c>
      <c r="J123" s="2" t="s">
        <v>18</v>
      </c>
    </row>
    <row r="124" spans="1:12" x14ac:dyDescent="0.25">
      <c r="A124" s="3">
        <v>39586</v>
      </c>
      <c r="B124" s="2" t="s">
        <v>36</v>
      </c>
      <c r="C124" t="s">
        <v>111</v>
      </c>
      <c r="D124" t="s">
        <v>208</v>
      </c>
      <c r="E124" s="2">
        <v>45688</v>
      </c>
      <c r="F124" s="2" cm="1">
        <f t="array" ref="F124">_xlfn.IFS(B124="Owner Surrender",E124,B124="Stray",E124+6,B124="Stray w/identification",E124+11,B124="Bite",E124+10,B124="Other",E124+30,B124="BAS",E124+56,B124="Seized",E124)</f>
        <v>45688</v>
      </c>
      <c r="G124" s="2">
        <v>45701</v>
      </c>
      <c r="H124" s="6">
        <f t="shared" si="2"/>
        <v>13</v>
      </c>
      <c r="I124" s="6">
        <f t="shared" si="3"/>
        <v>13</v>
      </c>
      <c r="J124" s="2" t="s">
        <v>11</v>
      </c>
    </row>
    <row r="125" spans="1:12" x14ac:dyDescent="0.25">
      <c r="A125" s="3">
        <v>39587</v>
      </c>
      <c r="B125" s="2" t="s">
        <v>36</v>
      </c>
      <c r="C125" t="s">
        <v>73</v>
      </c>
      <c r="D125" t="s">
        <v>209</v>
      </c>
      <c r="E125" s="2">
        <v>45688</v>
      </c>
      <c r="F125" s="2" cm="1">
        <f t="array" ref="F125">_xlfn.IFS(B125="Owner Surrender",E125,B125="Stray",E125+6,B125="Stray w/identification",E125+11,B125="Bite",E125+10,B125="Other",E125+30,B125="BAS",E125+56,B125="Seized",E125)</f>
        <v>45688</v>
      </c>
      <c r="G125" s="2">
        <v>45727</v>
      </c>
      <c r="H125" s="6">
        <f t="shared" si="2"/>
        <v>39</v>
      </c>
      <c r="I125" s="6">
        <f t="shared" si="3"/>
        <v>39</v>
      </c>
      <c r="J125" s="2" t="s">
        <v>11</v>
      </c>
      <c r="K125" s="2" t="s">
        <v>239</v>
      </c>
      <c r="L125" s="2"/>
    </row>
    <row r="126" spans="1:12" x14ac:dyDescent="0.25">
      <c r="A126" s="3">
        <v>39588</v>
      </c>
      <c r="B126" s="2" t="s">
        <v>38</v>
      </c>
      <c r="C126" t="s">
        <v>108</v>
      </c>
      <c r="D126" t="s">
        <v>208</v>
      </c>
      <c r="E126" s="2">
        <v>45688</v>
      </c>
      <c r="F126" s="2" cm="1">
        <f t="array" ref="F126">_xlfn.IFS(B126="Owner Surrender",E126,B126="Stray",E126+6,B126="Stray w/identification",E126+11,B126="Bite",E126+10,B126="Other",E126+30,B126="BAS",E126+56,B126="Seized",E126)</f>
        <v>45694</v>
      </c>
      <c r="G126" s="2">
        <v>45706</v>
      </c>
      <c r="H126" s="6">
        <f t="shared" si="2"/>
        <v>18</v>
      </c>
      <c r="I126" s="6">
        <f t="shared" si="3"/>
        <v>12</v>
      </c>
      <c r="J126" s="2" t="s">
        <v>11</v>
      </c>
    </row>
    <row r="127" spans="1:12" x14ac:dyDescent="0.25">
      <c r="A127" s="3">
        <v>39589</v>
      </c>
      <c r="B127" s="2" t="s">
        <v>38</v>
      </c>
      <c r="C127" t="s">
        <v>50</v>
      </c>
      <c r="D127" t="s">
        <v>209</v>
      </c>
      <c r="E127" s="2">
        <v>45688</v>
      </c>
      <c r="F127" s="2" cm="1">
        <f t="array" ref="F127">_xlfn.IFS(B127="Owner Surrender",E127,B127="Stray",E127+6,B127="Stray w/identification",E127+11,B127="Bite",E127+10,B127="Other",E127+30,B127="BAS",E127+56,B127="Seized",E127)</f>
        <v>45694</v>
      </c>
      <c r="G127" s="2">
        <v>45695</v>
      </c>
      <c r="H127" s="6">
        <f t="shared" si="2"/>
        <v>7</v>
      </c>
      <c r="I127" s="6">
        <f t="shared" si="3"/>
        <v>1</v>
      </c>
      <c r="J127" s="2" t="s">
        <v>31</v>
      </c>
    </row>
    <row r="128" spans="1:12" x14ac:dyDescent="0.25">
      <c r="A128" s="3">
        <v>39590</v>
      </c>
      <c r="B128" s="2" t="s">
        <v>38</v>
      </c>
      <c r="C128" t="s">
        <v>50</v>
      </c>
      <c r="D128" t="s">
        <v>209</v>
      </c>
      <c r="E128" s="2">
        <v>45688</v>
      </c>
      <c r="F128" s="2" cm="1">
        <f t="array" ref="F128">_xlfn.IFS(B128="Owner Surrender",E128,B128="Stray",E128+6,B128="Stray w/identification",E128+11,B128="Bite",E128+10,B128="Other",E128+30,B128="BAS",E128+56,B128="Seized",E128)</f>
        <v>45694</v>
      </c>
      <c r="G128" s="2">
        <v>45695</v>
      </c>
      <c r="H128" s="6">
        <f t="shared" si="2"/>
        <v>7</v>
      </c>
      <c r="I128" s="6">
        <f t="shared" si="3"/>
        <v>1</v>
      </c>
      <c r="J128" s="2" t="s">
        <v>31</v>
      </c>
    </row>
    <row r="129" spans="1:12" s="25" customFormat="1" x14ac:dyDescent="0.25">
      <c r="A129" s="24">
        <v>39599</v>
      </c>
      <c r="B129" s="20" t="s">
        <v>36</v>
      </c>
      <c r="C129" s="25" t="s">
        <v>459</v>
      </c>
      <c r="D129" s="25" t="s">
        <v>208</v>
      </c>
      <c r="E129" s="20">
        <v>45690</v>
      </c>
      <c r="F129" s="20" cm="1">
        <f t="array" ref="F129">_xlfn.IFS(B129="Owner Surrender",E129,B129="Stray",E129+6,B129="Stray w/identification",E129+11,B129="Bite",E129+10,B129="Other",E129+30,B129="BAS",E129+56,B129="Seized",E129)</f>
        <v>45690</v>
      </c>
      <c r="G129" s="20">
        <v>45698</v>
      </c>
      <c r="H129" s="26">
        <f t="shared" si="2"/>
        <v>8</v>
      </c>
      <c r="I129" s="26">
        <f t="shared" si="3"/>
        <v>8</v>
      </c>
      <c r="J129" s="20" t="s">
        <v>31</v>
      </c>
      <c r="K129" s="25" t="s">
        <v>460</v>
      </c>
      <c r="L129" s="25" t="s">
        <v>67</v>
      </c>
    </row>
    <row r="130" spans="1:12" s="25" customFormat="1" x14ac:dyDescent="0.25">
      <c r="A130" s="24">
        <v>39599</v>
      </c>
      <c r="B130" s="20" t="s">
        <v>38</v>
      </c>
      <c r="C130" s="25" t="s">
        <v>50</v>
      </c>
      <c r="D130" s="25" t="s">
        <v>208</v>
      </c>
      <c r="E130" s="20">
        <v>45692</v>
      </c>
      <c r="F130" s="20" cm="1">
        <f t="array" ref="F130">_xlfn.IFS(B130="Owner Surrender",E130,B130="Stray",E130+6,B130="Stray w/identification",E130+11,B130="Bite",E130+10,B130="Other",E130+30,B130="BAS",E130+56,B130="Seized",E130)</f>
        <v>45698</v>
      </c>
      <c r="G130" s="20">
        <v>45708</v>
      </c>
      <c r="H130" s="26">
        <f t="shared" si="2"/>
        <v>16</v>
      </c>
      <c r="I130" s="26">
        <f t="shared" si="3"/>
        <v>10</v>
      </c>
      <c r="J130" s="20" t="s">
        <v>31</v>
      </c>
    </row>
    <row r="131" spans="1:12" x14ac:dyDescent="0.25">
      <c r="A131" s="1">
        <v>39600</v>
      </c>
      <c r="B131" s="2" t="s">
        <v>38</v>
      </c>
      <c r="C131" t="s">
        <v>458</v>
      </c>
      <c r="D131" t="s">
        <v>208</v>
      </c>
      <c r="E131" s="2">
        <v>45690</v>
      </c>
      <c r="F131" s="2" cm="1">
        <f t="array" ref="F131">_xlfn.IFS(B131="Owner Surrender",E131,B131="Stray",E131+6,B131="Stray w/identification",E131+11,B131="Bite",E131+10,B131="Other",E131+30,B131="BAS",E131+56,B131="Seized",E131)</f>
        <v>45696</v>
      </c>
      <c r="G131" s="2">
        <v>45702</v>
      </c>
      <c r="H131" s="6">
        <f t="shared" ref="H131:H194" si="4">+G131-E131</f>
        <v>12</v>
      </c>
      <c r="I131" s="6">
        <f t="shared" ref="I131:I194" si="5">G131-F131</f>
        <v>6</v>
      </c>
      <c r="J131" s="2" t="s">
        <v>11</v>
      </c>
      <c r="K131" t="s">
        <v>113</v>
      </c>
    </row>
    <row r="132" spans="1:12" x14ac:dyDescent="0.25">
      <c r="A132" s="1">
        <v>39601</v>
      </c>
      <c r="B132" s="2" t="s">
        <v>38</v>
      </c>
      <c r="C132" t="s">
        <v>149</v>
      </c>
      <c r="D132" t="s">
        <v>211</v>
      </c>
      <c r="E132" s="2">
        <v>45691</v>
      </c>
      <c r="F132" s="2" cm="1">
        <f t="array" ref="F132">_xlfn.IFS(B132="Owner Surrender",E132,B132="Stray",E132+6,B132="Stray w/identification",E132+11,B132="Bite",E132+10,B132="Other",E132+30,B132="BAS",E132+56,B132="Seized",E132)</f>
        <v>45697</v>
      </c>
      <c r="G132" s="2">
        <v>45691</v>
      </c>
      <c r="H132" s="6">
        <f t="shared" si="4"/>
        <v>0</v>
      </c>
      <c r="I132" s="6">
        <f t="shared" si="5"/>
        <v>-6</v>
      </c>
      <c r="J132" s="2" t="s">
        <v>8</v>
      </c>
    </row>
    <row r="133" spans="1:12" x14ac:dyDescent="0.25">
      <c r="A133" s="1">
        <v>39603</v>
      </c>
      <c r="B133" s="2" t="s">
        <v>36</v>
      </c>
      <c r="C133" t="s">
        <v>149</v>
      </c>
      <c r="D133" t="s">
        <v>209</v>
      </c>
      <c r="E133" s="2">
        <v>45692</v>
      </c>
      <c r="F133" s="2" cm="1">
        <f t="array" ref="F133">_xlfn.IFS(B133="Owner Surrender",E133,B133="Stray",E133+6,B133="Stray w/identification",E133+11,B133="Bite",E133+10,B133="Other",E133+30,B133="BAS",E133+56,B133="Seized",E133)</f>
        <v>45692</v>
      </c>
      <c r="G133" s="2">
        <v>45701</v>
      </c>
      <c r="H133" s="6">
        <f t="shared" si="4"/>
        <v>9</v>
      </c>
      <c r="I133" s="6">
        <f t="shared" si="5"/>
        <v>9</v>
      </c>
      <c r="J133" s="2" t="s">
        <v>18</v>
      </c>
      <c r="K133" t="s">
        <v>457</v>
      </c>
    </row>
    <row r="134" spans="1:12" x14ac:dyDescent="0.25">
      <c r="A134" s="1">
        <v>39604</v>
      </c>
      <c r="B134" s="2" t="s">
        <v>36</v>
      </c>
      <c r="C134" t="s">
        <v>542</v>
      </c>
      <c r="D134" t="s">
        <v>209</v>
      </c>
      <c r="E134" s="2">
        <v>45692</v>
      </c>
      <c r="F134" s="2" cm="1">
        <f t="array" ref="F134">_xlfn.IFS(B134="Owner Surrender",E134,B134="Stray",E134+6,B134="Stray w/identification",E134+11,B134="Bite",E134+10,B134="Other",E134+30,B134="BAS",E134+56,B134="Seized",E134)</f>
        <v>45692</v>
      </c>
      <c r="G134" s="2">
        <v>45748</v>
      </c>
      <c r="H134" s="6">
        <f t="shared" si="4"/>
        <v>56</v>
      </c>
      <c r="I134" s="6">
        <f t="shared" si="5"/>
        <v>56</v>
      </c>
      <c r="J134" s="2" t="s">
        <v>31</v>
      </c>
    </row>
    <row r="135" spans="1:12" x14ac:dyDescent="0.25">
      <c r="A135" s="1">
        <v>39605</v>
      </c>
      <c r="B135" s="2" t="s">
        <v>36</v>
      </c>
      <c r="C135" t="s">
        <v>149</v>
      </c>
      <c r="D135" t="s">
        <v>209</v>
      </c>
      <c r="E135" s="2">
        <v>45692</v>
      </c>
      <c r="F135" s="2" cm="1">
        <f t="array" ref="F135">_xlfn.IFS(B135="Owner Surrender",E135,B135="Stray",E135+6,B135="Stray w/identification",E135+11,B135="Bite",E135+10,B135="Other",E135+30,B135="BAS",E135+56,B135="Seized",E135)</f>
        <v>45692</v>
      </c>
      <c r="G135" s="2">
        <v>45701</v>
      </c>
      <c r="H135" s="6">
        <f t="shared" si="4"/>
        <v>9</v>
      </c>
      <c r="I135" s="6">
        <f t="shared" si="5"/>
        <v>9</v>
      </c>
      <c r="J135" s="2" t="s">
        <v>18</v>
      </c>
      <c r="K135" t="s">
        <v>456</v>
      </c>
    </row>
    <row r="136" spans="1:12" x14ac:dyDescent="0.25">
      <c r="A136" s="1">
        <v>39606</v>
      </c>
      <c r="B136" s="2" t="s">
        <v>36</v>
      </c>
      <c r="C136" t="s">
        <v>149</v>
      </c>
      <c r="D136" t="s">
        <v>209</v>
      </c>
      <c r="E136" s="2">
        <v>45692</v>
      </c>
      <c r="F136" s="2" cm="1">
        <f t="array" ref="F136">_xlfn.IFS(B136="Owner Surrender",E136,B136="Stray",E136+6,B136="Stray w/identification",E136+11,B136="Bite",E136+10,B136="Other",E136+30,B136="BAS",E136+56,B136="Seized",E136)</f>
        <v>45692</v>
      </c>
      <c r="G136" s="2">
        <v>45748</v>
      </c>
      <c r="H136" s="6">
        <f t="shared" si="4"/>
        <v>56</v>
      </c>
      <c r="I136" s="6">
        <f t="shared" si="5"/>
        <v>56</v>
      </c>
      <c r="J136" s="2" t="s">
        <v>31</v>
      </c>
    </row>
    <row r="137" spans="1:12" x14ac:dyDescent="0.25">
      <c r="A137" s="1">
        <v>39619</v>
      </c>
      <c r="B137" s="2" t="s">
        <v>38</v>
      </c>
      <c r="C137" t="s">
        <v>49</v>
      </c>
      <c r="D137" t="s">
        <v>209</v>
      </c>
      <c r="E137" s="2">
        <v>45694</v>
      </c>
      <c r="F137" s="2" cm="1">
        <f t="array" ref="F137">_xlfn.IFS(B137="Owner Surrender",E137,B137="Stray",E137+6,B137="Stray w/identification",E137+11,B137="Bite",E137+10,B137="Other",E137+30,B137="BAS",E137+56,B137="Seized",E137)</f>
        <v>45700</v>
      </c>
      <c r="G137" s="2">
        <v>45701</v>
      </c>
      <c r="H137" s="6">
        <f t="shared" si="4"/>
        <v>7</v>
      </c>
      <c r="I137" s="6">
        <f t="shared" si="5"/>
        <v>1</v>
      </c>
      <c r="J137" s="2" t="s">
        <v>31</v>
      </c>
    </row>
    <row r="138" spans="1:12" x14ac:dyDescent="0.25">
      <c r="A138" s="1">
        <v>39621</v>
      </c>
      <c r="B138" s="2" t="s">
        <v>36</v>
      </c>
      <c r="C138" t="s">
        <v>84</v>
      </c>
      <c r="D138" t="s">
        <v>208</v>
      </c>
      <c r="E138" s="2">
        <v>45694</v>
      </c>
      <c r="F138" s="2" cm="1">
        <f t="array" ref="F138">_xlfn.IFS(B138="Owner Surrender",E138,B138="Stray",E138+6,B138="Stray w/identification",E138+11,B138="Bite",E138+10,B138="Other",E138+30,B138="BAS",E138+56,B138="Seized",E138)</f>
        <v>45694</v>
      </c>
      <c r="G138" s="2">
        <v>45694</v>
      </c>
      <c r="H138" s="6">
        <f t="shared" si="4"/>
        <v>0</v>
      </c>
      <c r="I138" s="6">
        <f t="shared" si="5"/>
        <v>0</v>
      </c>
      <c r="J138" s="2" t="s">
        <v>31</v>
      </c>
      <c r="L138" t="s">
        <v>455</v>
      </c>
    </row>
    <row r="139" spans="1:12" x14ac:dyDescent="0.25">
      <c r="A139" s="1">
        <v>39624</v>
      </c>
      <c r="B139" s="2" t="s">
        <v>36</v>
      </c>
      <c r="C139" t="s">
        <v>73</v>
      </c>
      <c r="D139" t="s">
        <v>208</v>
      </c>
      <c r="E139" s="2">
        <v>45695</v>
      </c>
      <c r="F139" s="2" cm="1">
        <f t="array" ref="F139">_xlfn.IFS(B139="Owner Surrender",E139,B139="Stray",E139+6,B139="Stray w/identification",E139+11,B139="Bite",E139+10,B139="Other",E139+30,B139="BAS",E139+56,B139="Seized",E139)</f>
        <v>45695</v>
      </c>
      <c r="G139" s="2">
        <v>45699</v>
      </c>
      <c r="H139" s="6">
        <f t="shared" si="4"/>
        <v>4</v>
      </c>
      <c r="I139" s="6">
        <f t="shared" si="5"/>
        <v>4</v>
      </c>
      <c r="J139" s="2" t="s">
        <v>31</v>
      </c>
    </row>
    <row r="140" spans="1:12" x14ac:dyDescent="0.25">
      <c r="A140" s="1">
        <v>39625</v>
      </c>
      <c r="B140" s="2" t="s">
        <v>36</v>
      </c>
      <c r="C140" t="s">
        <v>56</v>
      </c>
      <c r="D140" t="s">
        <v>208</v>
      </c>
      <c r="E140" s="2">
        <v>45695</v>
      </c>
      <c r="F140" s="2" cm="1">
        <f t="array" ref="F140">_xlfn.IFS(B140="Owner Surrender",E140,B140="Stray",E140+6,B140="Stray w/identification",E140+11,B140="Bite",E140+10,B140="Other",E140+30,B140="BAS",E140+56,B140="Seized",E140)</f>
        <v>45695</v>
      </c>
      <c r="G140" s="2">
        <v>45706</v>
      </c>
      <c r="H140" s="6">
        <f t="shared" si="4"/>
        <v>11</v>
      </c>
      <c r="I140" s="6">
        <f t="shared" si="5"/>
        <v>11</v>
      </c>
      <c r="J140" s="2" t="s">
        <v>31</v>
      </c>
      <c r="K140" t="s">
        <v>454</v>
      </c>
    </row>
    <row r="141" spans="1:12" x14ac:dyDescent="0.25">
      <c r="A141" s="1">
        <v>39626</v>
      </c>
      <c r="B141" s="2" t="s">
        <v>36</v>
      </c>
      <c r="C141" t="s">
        <v>49</v>
      </c>
      <c r="D141" t="s">
        <v>208</v>
      </c>
      <c r="E141" s="2">
        <v>45695</v>
      </c>
      <c r="F141" s="2" cm="1">
        <f t="array" ref="F141">_xlfn.IFS(B141="Owner Surrender",E141,B141="Stray",E141+6,B141="Stray w/identification",E141+11,B141="Bite",E141+10,B141="Other",E141+30,B141="BAS",E141+56,B141="Seized",E141)</f>
        <v>45695</v>
      </c>
      <c r="G141" s="2">
        <v>45699</v>
      </c>
      <c r="H141" s="6">
        <f t="shared" si="4"/>
        <v>4</v>
      </c>
      <c r="I141" s="6">
        <f t="shared" si="5"/>
        <v>4</v>
      </c>
      <c r="J141" s="2" t="s">
        <v>31</v>
      </c>
    </row>
    <row r="142" spans="1:12" x14ac:dyDescent="0.25">
      <c r="A142" s="1">
        <v>39637</v>
      </c>
      <c r="B142" s="2" t="s">
        <v>36</v>
      </c>
      <c r="C142" t="s">
        <v>70</v>
      </c>
      <c r="D142" t="s">
        <v>208</v>
      </c>
      <c r="E142" s="2">
        <v>45696</v>
      </c>
      <c r="F142" s="2" cm="1">
        <f t="array" ref="F142">_xlfn.IFS(B142="Owner Surrender",E142,B142="Stray",E142+6,B142="Stray w/identification",E142+11,B142="Bite",E142+10,B142="Other",E142+30,B142="BAS",E142+56,B142="Seized",E142)</f>
        <v>45696</v>
      </c>
      <c r="G142" s="2">
        <v>45699</v>
      </c>
      <c r="H142" s="6">
        <f t="shared" si="4"/>
        <v>3</v>
      </c>
      <c r="I142" s="6">
        <f t="shared" si="5"/>
        <v>3</v>
      </c>
      <c r="J142" s="2" t="s">
        <v>31</v>
      </c>
      <c r="K142" t="s">
        <v>20</v>
      </c>
    </row>
    <row r="143" spans="1:12" x14ac:dyDescent="0.25">
      <c r="A143" s="1">
        <v>39638</v>
      </c>
      <c r="B143" s="2" t="s">
        <v>36</v>
      </c>
      <c r="C143" t="s">
        <v>168</v>
      </c>
      <c r="D143" t="s">
        <v>208</v>
      </c>
      <c r="E143" s="2">
        <v>45696</v>
      </c>
      <c r="F143" s="2" cm="1">
        <f t="array" ref="F143">_xlfn.IFS(B143="Owner Surrender",E143,B143="Stray",E143+6,B143="Stray w/identification",E143+11,B143="Bite",E143+10,B143="Other",E143+30,B143="BAS",E143+56,B143="Seized",E143)</f>
        <v>45696</v>
      </c>
      <c r="G143" s="2">
        <v>45701</v>
      </c>
      <c r="H143" s="6">
        <f t="shared" si="4"/>
        <v>5</v>
      </c>
      <c r="I143" s="6">
        <f t="shared" si="5"/>
        <v>5</v>
      </c>
      <c r="J143" s="2" t="s">
        <v>18</v>
      </c>
      <c r="K143" t="s">
        <v>453</v>
      </c>
    </row>
    <row r="144" spans="1:12" x14ac:dyDescent="0.25">
      <c r="A144" s="1">
        <v>39639</v>
      </c>
      <c r="B144" s="2" t="s">
        <v>36</v>
      </c>
      <c r="C144" t="s">
        <v>96</v>
      </c>
      <c r="D144" t="s">
        <v>208</v>
      </c>
      <c r="E144" s="2">
        <v>45696</v>
      </c>
      <c r="F144" s="2" cm="1">
        <f t="array" ref="F144">_xlfn.IFS(B144="Owner Surrender",E144,B144="Stray",E144+6,B144="Stray w/identification",E144+11,B144="Bite",E144+10,B144="Other",E144+30,B144="BAS",E144+56,B144="Seized",E144)</f>
        <v>45696</v>
      </c>
      <c r="G144" s="2">
        <v>45701</v>
      </c>
      <c r="H144" s="6">
        <f t="shared" si="4"/>
        <v>5</v>
      </c>
      <c r="I144" s="6">
        <f t="shared" si="5"/>
        <v>5</v>
      </c>
      <c r="J144" s="2" t="s">
        <v>18</v>
      </c>
      <c r="K144" t="s">
        <v>452</v>
      </c>
    </row>
    <row r="145" spans="1:12" x14ac:dyDescent="0.25">
      <c r="A145" s="1">
        <v>39640</v>
      </c>
      <c r="B145" s="2" t="s">
        <v>36</v>
      </c>
      <c r="C145" t="s">
        <v>96</v>
      </c>
      <c r="D145" t="s">
        <v>208</v>
      </c>
      <c r="E145" s="2">
        <v>45696</v>
      </c>
      <c r="F145" s="2" cm="1">
        <f t="array" ref="F145">_xlfn.IFS(B145="Owner Surrender",E145,B145="Stray",E145+6,B145="Stray w/identification",E145+11,B145="Bite",E145+10,B145="Other",E145+30,B145="BAS",E145+56,B145="Seized",E145)</f>
        <v>45696</v>
      </c>
      <c r="G145" s="2">
        <v>45701</v>
      </c>
      <c r="H145" s="6">
        <f t="shared" si="4"/>
        <v>5</v>
      </c>
      <c r="I145" s="6">
        <f t="shared" si="5"/>
        <v>5</v>
      </c>
      <c r="J145" s="2" t="s">
        <v>18</v>
      </c>
      <c r="K145" t="s">
        <v>451</v>
      </c>
    </row>
    <row r="146" spans="1:12" x14ac:dyDescent="0.25">
      <c r="A146" s="1">
        <v>39641</v>
      </c>
      <c r="B146" s="2" t="s">
        <v>36</v>
      </c>
      <c r="C146" t="s">
        <v>51</v>
      </c>
      <c r="D146" t="s">
        <v>208</v>
      </c>
      <c r="E146" s="2">
        <v>45697</v>
      </c>
      <c r="F146" s="2" cm="1">
        <f t="array" ref="F146">_xlfn.IFS(B146="Owner Surrender",E146,B146="Stray",E146+6,B146="Stray w/identification",E146+11,B146="Bite",E146+10,B146="Other",E146+30,B146="BAS",E146+56,B146="Seized",E146)</f>
        <v>45697</v>
      </c>
      <c r="G146" s="2">
        <v>45714</v>
      </c>
      <c r="H146" s="6">
        <f t="shared" si="4"/>
        <v>17</v>
      </c>
      <c r="I146" s="6">
        <f t="shared" si="5"/>
        <v>17</v>
      </c>
      <c r="J146" s="2" t="s">
        <v>11</v>
      </c>
      <c r="K146" t="s">
        <v>97</v>
      </c>
    </row>
    <row r="147" spans="1:12" x14ac:dyDescent="0.25">
      <c r="A147" s="1">
        <v>39642</v>
      </c>
      <c r="B147" s="2" t="s">
        <v>38</v>
      </c>
      <c r="C147" t="s">
        <v>50</v>
      </c>
      <c r="D147" t="s">
        <v>208</v>
      </c>
      <c r="E147" s="2">
        <v>45697</v>
      </c>
      <c r="F147" s="2" cm="1">
        <f t="array" ref="F147">_xlfn.IFS(B147="Owner Surrender",E147,B147="Stray",E147+6,B147="Stray w/identification",E147+11,B147="Bite",E147+10,B147="Other",E147+30,B147="BAS",E147+56,B147="Seized",E147)</f>
        <v>45703</v>
      </c>
      <c r="G147" s="2">
        <v>45706</v>
      </c>
      <c r="H147" s="6">
        <f t="shared" si="4"/>
        <v>9</v>
      </c>
      <c r="I147" s="6">
        <f t="shared" si="5"/>
        <v>3</v>
      </c>
      <c r="J147" s="2" t="s">
        <v>31</v>
      </c>
      <c r="K147" t="s">
        <v>157</v>
      </c>
    </row>
    <row r="148" spans="1:12" x14ac:dyDescent="0.25">
      <c r="A148" s="1">
        <v>39643</v>
      </c>
      <c r="B148" s="2" t="s">
        <v>180</v>
      </c>
      <c r="C148" t="s">
        <v>450</v>
      </c>
      <c r="D148" t="s">
        <v>208</v>
      </c>
      <c r="E148" s="2">
        <v>45697</v>
      </c>
      <c r="F148" s="2" cm="1">
        <f t="array" ref="F148">_xlfn.IFS(B148="Owner Surrender",E148,B148="Stray",E148+6,B148="Stray w/identification",E148+11,B148="Bite",E148+10,B148="Other",E148+30,B148="BAS",E148+56,B148="Seized",E148)</f>
        <v>45708</v>
      </c>
      <c r="G148" s="2">
        <v>45698</v>
      </c>
      <c r="H148" s="6">
        <f t="shared" si="4"/>
        <v>1</v>
      </c>
      <c r="I148" s="6">
        <f t="shared" si="5"/>
        <v>-10</v>
      </c>
      <c r="J148" s="2" t="s">
        <v>8</v>
      </c>
    </row>
    <row r="149" spans="1:12" x14ac:dyDescent="0.25">
      <c r="A149" s="1">
        <v>39644</v>
      </c>
      <c r="B149" s="2" t="s">
        <v>38</v>
      </c>
      <c r="C149" t="s">
        <v>70</v>
      </c>
      <c r="D149" t="s">
        <v>208</v>
      </c>
      <c r="E149" s="2">
        <v>45697</v>
      </c>
      <c r="F149" s="2" cm="1">
        <f t="array" ref="F149">_xlfn.IFS(B149="Owner Surrender",E149,B149="Stray",E149+6,B149="Stray w/identification",E149+11,B149="Bite",E149+10,B149="Other",E149+30,B149="BAS",E149+56,B149="Seized",E149)</f>
        <v>45703</v>
      </c>
      <c r="G149" s="2">
        <v>45698</v>
      </c>
      <c r="H149" s="6">
        <f t="shared" si="4"/>
        <v>1</v>
      </c>
      <c r="I149" s="6">
        <f t="shared" si="5"/>
        <v>-5</v>
      </c>
      <c r="J149" s="2" t="s">
        <v>8</v>
      </c>
    </row>
    <row r="150" spans="1:12" x14ac:dyDescent="0.25">
      <c r="A150" s="1">
        <v>39645</v>
      </c>
      <c r="B150" s="2" t="s">
        <v>38</v>
      </c>
      <c r="C150" t="s">
        <v>49</v>
      </c>
      <c r="D150" t="s">
        <v>208</v>
      </c>
      <c r="E150" s="2">
        <v>45698</v>
      </c>
      <c r="F150" s="2" cm="1">
        <f t="array" ref="F150">_xlfn.IFS(B150="Owner Surrender",E150,B150="Stray",E150+6,B150="Stray w/identification",E150+11,B150="Bite",E150+10,B150="Other",E150+30,B150="BAS",E150+56,B150="Seized",E150)</f>
        <v>45704</v>
      </c>
      <c r="G150" s="2">
        <v>45706</v>
      </c>
      <c r="H150" s="6">
        <f t="shared" si="4"/>
        <v>8</v>
      </c>
      <c r="I150" s="6">
        <f t="shared" si="5"/>
        <v>2</v>
      </c>
      <c r="J150" s="2" t="s">
        <v>31</v>
      </c>
      <c r="K150" t="s">
        <v>449</v>
      </c>
    </row>
    <row r="151" spans="1:12" x14ac:dyDescent="0.25">
      <c r="A151" s="1">
        <v>39646</v>
      </c>
      <c r="B151" s="2" t="s">
        <v>38</v>
      </c>
      <c r="C151" t="s">
        <v>72</v>
      </c>
      <c r="D151" t="s">
        <v>209</v>
      </c>
      <c r="E151" s="2">
        <v>45698</v>
      </c>
      <c r="F151" s="2" cm="1">
        <f t="array" ref="F151">_xlfn.IFS(B151="Owner Surrender",E151,B151="Stray",E151+6,B151="Stray w/identification",E151+11,B151="Bite",E151+10,B151="Other",E151+30,B151="BAS",E151+56,B151="Seized",E151)</f>
        <v>45704</v>
      </c>
      <c r="G151" s="2">
        <v>45706</v>
      </c>
      <c r="H151" s="6">
        <f t="shared" si="4"/>
        <v>8</v>
      </c>
      <c r="I151" s="6">
        <f t="shared" si="5"/>
        <v>2</v>
      </c>
      <c r="J151" s="2" t="s">
        <v>31</v>
      </c>
    </row>
    <row r="152" spans="1:12" x14ac:dyDescent="0.25">
      <c r="A152" s="1">
        <v>39649</v>
      </c>
      <c r="B152" s="2" t="s">
        <v>61</v>
      </c>
      <c r="C152" t="s">
        <v>50</v>
      </c>
      <c r="D152" t="s">
        <v>208</v>
      </c>
      <c r="E152" s="2">
        <v>45700</v>
      </c>
      <c r="F152" s="2" cm="1">
        <f t="array" ref="F152">_xlfn.IFS(B152="Owner Surrender",E152,B152="Stray",E152+6,B152="Stray w/identification",E152+11,B152="Bite",E152+10,B152="Other",E152+30,B152="BAS",E152+56,B152="Seized",E152)</f>
        <v>45730</v>
      </c>
      <c r="G152" s="2">
        <v>45701</v>
      </c>
      <c r="H152" s="6">
        <f t="shared" si="4"/>
        <v>1</v>
      </c>
      <c r="I152" s="6">
        <f t="shared" si="5"/>
        <v>-29</v>
      </c>
      <c r="J152" s="2" t="s">
        <v>18</v>
      </c>
    </row>
    <row r="153" spans="1:12" x14ac:dyDescent="0.25">
      <c r="A153" s="1">
        <v>39652</v>
      </c>
      <c r="B153" s="2" t="s">
        <v>36</v>
      </c>
      <c r="C153" t="s">
        <v>447</v>
      </c>
      <c r="D153" t="s">
        <v>208</v>
      </c>
      <c r="E153" s="2">
        <v>45701</v>
      </c>
      <c r="F153" s="2" cm="1">
        <f t="array" ref="F153">_xlfn.IFS(B153="Owner Surrender",E153,B153="Stray",E153+6,B153="Stray w/identification",E153+11,B153="Bite",E153+10,B153="Other",E153+30,B153="BAS",E153+56,B153="Seized",E153)</f>
        <v>45701</v>
      </c>
      <c r="G153" s="2">
        <v>45706</v>
      </c>
      <c r="H153" s="6">
        <f t="shared" si="4"/>
        <v>5</v>
      </c>
      <c r="I153" s="6">
        <f t="shared" si="5"/>
        <v>5</v>
      </c>
      <c r="J153" s="2" t="s">
        <v>31</v>
      </c>
      <c r="K153" t="s">
        <v>448</v>
      </c>
    </row>
    <row r="154" spans="1:12" x14ac:dyDescent="0.25">
      <c r="A154" s="1">
        <v>39653</v>
      </c>
      <c r="B154" s="2" t="s">
        <v>180</v>
      </c>
      <c r="C154" t="s">
        <v>50</v>
      </c>
      <c r="D154" t="s">
        <v>208</v>
      </c>
      <c r="E154" s="2">
        <v>45701</v>
      </c>
      <c r="F154" s="2" cm="1">
        <f t="array" ref="F154">_xlfn.IFS(B154="Owner Surrender",E154,B154="Stray",E154+6,B154="Stray w/identification",E154+11,B154="Bite",E154+10,B154="Other",E154+30,B154="BAS",E154+56,B154="Seized",E154)</f>
        <v>45712</v>
      </c>
      <c r="G154" s="2">
        <v>45714</v>
      </c>
      <c r="H154" s="6">
        <f t="shared" si="4"/>
        <v>13</v>
      </c>
      <c r="I154" s="6">
        <f t="shared" si="5"/>
        <v>2</v>
      </c>
      <c r="J154" s="2" t="s">
        <v>31</v>
      </c>
      <c r="K154" t="s">
        <v>446</v>
      </c>
    </row>
    <row r="155" spans="1:12" x14ac:dyDescent="0.25">
      <c r="A155" s="1">
        <v>39654</v>
      </c>
      <c r="B155" s="2" t="s">
        <v>180</v>
      </c>
      <c r="C155" t="s">
        <v>422</v>
      </c>
      <c r="D155" t="s">
        <v>208</v>
      </c>
      <c r="E155" s="2">
        <v>45701</v>
      </c>
      <c r="F155" s="2" cm="1">
        <f t="array" ref="F155">_xlfn.IFS(B155="Owner Surrender",E155,B155="Stray",E155+6,B155="Stray w/identification",E155+11,B155="Bite",E155+10,B155="Other",E155+30,B155="BAS",E155+56,B155="Seized",E155)</f>
        <v>45712</v>
      </c>
      <c r="G155" s="2">
        <v>45702</v>
      </c>
      <c r="H155" s="6">
        <f t="shared" si="4"/>
        <v>1</v>
      </c>
      <c r="I155" s="6">
        <f t="shared" si="5"/>
        <v>-10</v>
      </c>
      <c r="J155" s="2" t="s">
        <v>8</v>
      </c>
    </row>
    <row r="156" spans="1:12" x14ac:dyDescent="0.25">
      <c r="A156" s="1">
        <v>39655</v>
      </c>
      <c r="B156" s="2" t="s">
        <v>36</v>
      </c>
      <c r="C156" t="s">
        <v>73</v>
      </c>
      <c r="D156" t="s">
        <v>209</v>
      </c>
      <c r="E156" s="2">
        <v>45701</v>
      </c>
      <c r="F156" s="2" cm="1">
        <f t="array" ref="F156">_xlfn.IFS(B156="Owner Surrender",E156,B156="Stray",E156+6,B156="Stray w/identification",E156+11,B156="Bite",E156+10,B156="Other",E156+30,B156="BAS",E156+56,B156="Seized",E156)</f>
        <v>45701</v>
      </c>
      <c r="G156" s="2">
        <v>45706</v>
      </c>
      <c r="H156" s="6">
        <f t="shared" si="4"/>
        <v>5</v>
      </c>
      <c r="I156" s="6">
        <f t="shared" si="5"/>
        <v>5</v>
      </c>
      <c r="J156" s="2" t="s">
        <v>18</v>
      </c>
      <c r="K156" t="s">
        <v>123</v>
      </c>
    </row>
    <row r="157" spans="1:12" x14ac:dyDescent="0.25">
      <c r="A157" s="1">
        <v>39657</v>
      </c>
      <c r="B157" s="2" t="s">
        <v>36</v>
      </c>
      <c r="C157" t="s">
        <v>50</v>
      </c>
      <c r="D157" t="s">
        <v>208</v>
      </c>
      <c r="E157" s="2">
        <v>45702</v>
      </c>
      <c r="F157" s="2" cm="1">
        <f t="array" ref="F157">_xlfn.IFS(B157="Owner Surrender",E157,B157="Stray",E157+6,B157="Stray w/identification",E157+11,B157="Bite",E157+10,B157="Other",E157+30,B157="BAS",E157+56,B157="Seized",E157)</f>
        <v>45702</v>
      </c>
      <c r="G157" s="2">
        <v>45708</v>
      </c>
      <c r="H157" s="6">
        <f t="shared" si="4"/>
        <v>6</v>
      </c>
      <c r="I157" s="6">
        <f t="shared" si="5"/>
        <v>6</v>
      </c>
      <c r="J157" s="2" t="s">
        <v>31</v>
      </c>
      <c r="K157" t="s">
        <v>270</v>
      </c>
    </row>
    <row r="158" spans="1:12" x14ac:dyDescent="0.25">
      <c r="A158" s="1">
        <v>39660</v>
      </c>
      <c r="B158" s="2" t="s">
        <v>36</v>
      </c>
      <c r="C158" t="s">
        <v>76</v>
      </c>
      <c r="D158" t="s">
        <v>210</v>
      </c>
      <c r="E158" s="2">
        <v>45703</v>
      </c>
      <c r="F158" s="2" cm="1">
        <f t="array" ref="F158">_xlfn.IFS(B158="Owner Surrender",E158,B158="Stray",E158+6,B158="Stray w/identification",E158+11,B158="Bite",E158+10,B158="Other",E158+30,B158="BAS",E158+56,B158="Seized",E158)</f>
        <v>45703</v>
      </c>
      <c r="G158" s="2">
        <v>45708</v>
      </c>
      <c r="H158" s="6">
        <f t="shared" si="4"/>
        <v>5</v>
      </c>
      <c r="I158" s="6">
        <f t="shared" si="5"/>
        <v>5</v>
      </c>
      <c r="J158" s="2" t="s">
        <v>31</v>
      </c>
    </row>
    <row r="159" spans="1:12" x14ac:dyDescent="0.25">
      <c r="A159" s="1">
        <v>39663</v>
      </c>
      <c r="B159" s="2" t="s">
        <v>36</v>
      </c>
      <c r="C159" t="s">
        <v>73</v>
      </c>
      <c r="D159" t="s">
        <v>208</v>
      </c>
      <c r="E159" s="2">
        <v>45703</v>
      </c>
      <c r="F159" s="2" cm="1">
        <f t="array" ref="F159">_xlfn.IFS(B159="Owner Surrender",E159,B159="Stray",E159+6,B159="Stray w/identification",E159+11,B159="Bite",E159+10,B159="Other",E159+30,B159="BAS",E159+56,B159="Seized",E159)</f>
        <v>45703</v>
      </c>
      <c r="G159" s="2">
        <v>45708</v>
      </c>
      <c r="H159" s="6">
        <f t="shared" si="4"/>
        <v>5</v>
      </c>
      <c r="I159" s="6">
        <f t="shared" si="5"/>
        <v>5</v>
      </c>
      <c r="J159" s="2" t="s">
        <v>31</v>
      </c>
      <c r="K159" t="s">
        <v>136</v>
      </c>
      <c r="L159" t="s">
        <v>445</v>
      </c>
    </row>
    <row r="160" spans="1:12" x14ac:dyDescent="0.25">
      <c r="A160" s="1">
        <v>39664</v>
      </c>
      <c r="B160" s="2" t="s">
        <v>180</v>
      </c>
      <c r="C160" t="s">
        <v>73</v>
      </c>
      <c r="D160" t="s">
        <v>208</v>
      </c>
      <c r="E160" s="2">
        <v>45703</v>
      </c>
      <c r="F160" s="2" cm="1">
        <f t="array" ref="F160">_xlfn.IFS(B160="Owner Surrender",E160,B160="Stray",E160+6,B160="Stray w/identification",E160+11,B160="Bite",E160+10,B160="Other",E160+30,B160="BAS",E160+56,B160="Seized",E160)</f>
        <v>45714</v>
      </c>
      <c r="G160" s="2">
        <v>45716</v>
      </c>
      <c r="H160" s="6">
        <f t="shared" si="4"/>
        <v>13</v>
      </c>
      <c r="I160" s="6">
        <f t="shared" si="5"/>
        <v>2</v>
      </c>
      <c r="J160" s="2" t="s">
        <v>31</v>
      </c>
    </row>
    <row r="161" spans="1:12" x14ac:dyDescent="0.25">
      <c r="A161" s="1">
        <v>39665</v>
      </c>
      <c r="B161" s="2" t="s">
        <v>36</v>
      </c>
      <c r="C161" t="s">
        <v>96</v>
      </c>
      <c r="D161" t="s">
        <v>208</v>
      </c>
      <c r="E161" s="2">
        <v>45705</v>
      </c>
      <c r="F161" s="2" cm="1">
        <f t="array" ref="F161">_xlfn.IFS(B161="Owner Surrender",E161,B161="Stray",E161+6,B161="Stray w/identification",E161+11,B161="Bite",E161+10,B161="Other",E161+30,B161="BAS",E161+56,B161="Seized",E161)</f>
        <v>45705</v>
      </c>
      <c r="G161" s="2">
        <v>45708</v>
      </c>
      <c r="H161" s="6">
        <f t="shared" si="4"/>
        <v>3</v>
      </c>
      <c r="I161" s="6">
        <f t="shared" si="5"/>
        <v>3</v>
      </c>
      <c r="J161" s="2" t="s">
        <v>31</v>
      </c>
      <c r="K161" t="s">
        <v>444</v>
      </c>
    </row>
    <row r="162" spans="1:12" x14ac:dyDescent="0.25">
      <c r="A162" s="1">
        <v>39666</v>
      </c>
      <c r="B162" s="2" t="s">
        <v>36</v>
      </c>
      <c r="C162" t="s">
        <v>96</v>
      </c>
      <c r="D162" t="s">
        <v>211</v>
      </c>
      <c r="E162" s="2">
        <v>45705</v>
      </c>
      <c r="F162" s="2" cm="1">
        <f t="array" ref="F162">_xlfn.IFS(B162="Owner Surrender",E162,B162="Stray",E162+6,B162="Stray w/identification",E162+11,B162="Bite",E162+10,B162="Other",E162+30,B162="BAS",E162+56,B162="Seized",E162)</f>
        <v>45705</v>
      </c>
      <c r="G162" s="2">
        <v>45708</v>
      </c>
      <c r="H162" s="6">
        <f t="shared" si="4"/>
        <v>3</v>
      </c>
      <c r="I162" s="6">
        <f t="shared" si="5"/>
        <v>3</v>
      </c>
      <c r="J162" s="2" t="s">
        <v>31</v>
      </c>
      <c r="K162" t="s">
        <v>443</v>
      </c>
    </row>
    <row r="163" spans="1:12" x14ac:dyDescent="0.25">
      <c r="A163" s="1">
        <v>39667</v>
      </c>
      <c r="B163" s="2" t="s">
        <v>36</v>
      </c>
      <c r="C163" t="s">
        <v>149</v>
      </c>
      <c r="D163" t="s">
        <v>208</v>
      </c>
      <c r="E163" s="2">
        <v>45705</v>
      </c>
      <c r="F163" s="2" cm="1">
        <f t="array" ref="F163">_xlfn.IFS(B163="Owner Surrender",E163,B163="Stray",E163+6,B163="Stray w/identification",E163+11,B163="Bite",E163+10,B163="Other",E163+30,B163="BAS",E163+56,B163="Seized",E163)</f>
        <v>45705</v>
      </c>
      <c r="G163" s="2">
        <v>45734</v>
      </c>
      <c r="H163" s="6">
        <f t="shared" si="4"/>
        <v>29</v>
      </c>
      <c r="I163" s="6">
        <f t="shared" si="5"/>
        <v>29</v>
      </c>
      <c r="J163" s="2" t="s">
        <v>31</v>
      </c>
      <c r="K163" t="s">
        <v>442</v>
      </c>
    </row>
    <row r="164" spans="1:12" x14ac:dyDescent="0.25">
      <c r="A164" s="1">
        <v>39673</v>
      </c>
      <c r="B164" s="2" t="s">
        <v>61</v>
      </c>
      <c r="C164" t="s">
        <v>50</v>
      </c>
      <c r="D164" t="s">
        <v>208</v>
      </c>
      <c r="E164" s="2">
        <v>45705</v>
      </c>
      <c r="F164" s="2" cm="1">
        <f t="array" ref="F164">_xlfn.IFS(B164="Owner Surrender",E164,B164="Stray",E164+6,B164="Stray w/identification",E164+11,B164="Bite",E164+10,B164="Other",E164+30,B164="BAS",E164+56,B164="Seized",E164)</f>
        <v>45735</v>
      </c>
      <c r="G164" s="2">
        <v>45709</v>
      </c>
      <c r="H164" s="6">
        <f t="shared" si="4"/>
        <v>4</v>
      </c>
      <c r="I164" s="6">
        <f t="shared" si="5"/>
        <v>-26</v>
      </c>
      <c r="J164" s="2" t="s">
        <v>8</v>
      </c>
    </row>
    <row r="165" spans="1:12" x14ac:dyDescent="0.25">
      <c r="A165" s="1">
        <v>39674</v>
      </c>
      <c r="B165" s="2" t="s">
        <v>61</v>
      </c>
      <c r="C165" t="s">
        <v>50</v>
      </c>
      <c r="D165" t="s">
        <v>208</v>
      </c>
      <c r="E165" s="2">
        <v>45705</v>
      </c>
      <c r="F165" s="2" cm="1">
        <f t="array" ref="F165">_xlfn.IFS(B165="Owner Surrender",E165,B165="Stray",E165+6,B165="Stray w/identification",E165+11,B165="Bite",E165+10,B165="Other",E165+30,B165="BAS",E165+56,B165="Seized",E165)</f>
        <v>45735</v>
      </c>
      <c r="G165" s="2">
        <v>45709</v>
      </c>
      <c r="H165" s="6">
        <f t="shared" si="4"/>
        <v>4</v>
      </c>
      <c r="I165" s="6">
        <f t="shared" si="5"/>
        <v>-26</v>
      </c>
      <c r="J165" s="2" t="s">
        <v>8</v>
      </c>
    </row>
    <row r="166" spans="1:12" x14ac:dyDescent="0.25">
      <c r="A166" s="1">
        <v>39675</v>
      </c>
      <c r="B166" s="2" t="s">
        <v>53</v>
      </c>
      <c r="C166" t="s">
        <v>149</v>
      </c>
      <c r="D166" t="s">
        <v>208</v>
      </c>
      <c r="E166" s="2">
        <v>45705</v>
      </c>
      <c r="F166" s="2" cm="1">
        <f t="array" ref="F166">_xlfn.IFS(B166="Owner Surrender",E166,B166="Stray",E166+6,B166="Stray w/identification",E166+11,B166="Bite",E166+10,B166="Other",E166+30,B166="BAS",E166+56,B166="Seized",E166)</f>
        <v>45705</v>
      </c>
      <c r="G166" s="2">
        <v>45706</v>
      </c>
      <c r="H166" s="6">
        <f t="shared" si="4"/>
        <v>1</v>
      </c>
      <c r="I166" s="6">
        <f t="shared" si="5"/>
        <v>1</v>
      </c>
      <c r="J166" s="2" t="s">
        <v>8</v>
      </c>
      <c r="K166" t="s">
        <v>141</v>
      </c>
    </row>
    <row r="167" spans="1:12" x14ac:dyDescent="0.25">
      <c r="A167" s="1">
        <v>39678</v>
      </c>
      <c r="B167" s="2" t="s">
        <v>36</v>
      </c>
      <c r="C167" t="s">
        <v>49</v>
      </c>
      <c r="D167" t="s">
        <v>210</v>
      </c>
      <c r="E167" s="2">
        <v>45706</v>
      </c>
      <c r="F167" s="2" cm="1">
        <f t="array" ref="F167">_xlfn.IFS(B167="Owner Surrender",E167,B167="Stray",E167+6,B167="Stray w/identification",E167+11,B167="Bite",E167+10,B167="Other",E167+30,B167="BAS",E167+56,B167="Seized",E167)</f>
        <v>45706</v>
      </c>
      <c r="G167" s="2">
        <v>45708</v>
      </c>
      <c r="H167" s="6">
        <f t="shared" si="4"/>
        <v>2</v>
      </c>
      <c r="I167" s="6">
        <f t="shared" si="5"/>
        <v>2</v>
      </c>
      <c r="J167" s="2" t="s">
        <v>31</v>
      </c>
      <c r="K167" t="s">
        <v>441</v>
      </c>
    </row>
    <row r="168" spans="1:12" x14ac:dyDescent="0.25">
      <c r="A168" s="1">
        <v>39679</v>
      </c>
      <c r="B168" s="2" t="s">
        <v>36</v>
      </c>
      <c r="C168" t="s">
        <v>49</v>
      </c>
      <c r="D168" t="s">
        <v>209</v>
      </c>
      <c r="E168" s="2">
        <v>45706</v>
      </c>
      <c r="F168" s="2" cm="1">
        <f t="array" ref="F168">_xlfn.IFS(B168="Owner Surrender",E168,B168="Stray",E168+6,B168="Stray w/identification",E168+11,B168="Bite",E168+10,B168="Other",E168+30,B168="BAS",E168+56,B168="Seized",E168)</f>
        <v>45706</v>
      </c>
      <c r="G168" s="2">
        <v>45708</v>
      </c>
      <c r="H168" s="6">
        <f t="shared" si="4"/>
        <v>2</v>
      </c>
      <c r="I168" s="6">
        <f t="shared" si="5"/>
        <v>2</v>
      </c>
      <c r="J168" s="2" t="s">
        <v>31</v>
      </c>
      <c r="K168" t="s">
        <v>139</v>
      </c>
    </row>
    <row r="169" spans="1:12" x14ac:dyDescent="0.25">
      <c r="A169" s="1">
        <v>39680</v>
      </c>
      <c r="B169" s="2" t="s">
        <v>36</v>
      </c>
      <c r="C169" t="s">
        <v>49</v>
      </c>
      <c r="D169" t="s">
        <v>209</v>
      </c>
      <c r="E169" s="2">
        <v>45706</v>
      </c>
      <c r="F169" s="2" cm="1">
        <f t="array" ref="F169">_xlfn.IFS(B169="Owner Surrender",E169,B169="Stray",E169+6,B169="Stray w/identification",E169+11,B169="Bite",E169+10,B169="Other",E169+30,B169="BAS",E169+56,B169="Seized",E169)</f>
        <v>45706</v>
      </c>
      <c r="G169" s="2">
        <v>45708</v>
      </c>
      <c r="H169" s="6">
        <f t="shared" si="4"/>
        <v>2</v>
      </c>
      <c r="I169" s="6">
        <f t="shared" si="5"/>
        <v>2</v>
      </c>
      <c r="J169" s="2" t="s">
        <v>31</v>
      </c>
      <c r="K169" t="s">
        <v>440</v>
      </c>
    </row>
    <row r="170" spans="1:12" x14ac:dyDescent="0.25">
      <c r="A170" s="1">
        <v>39681</v>
      </c>
      <c r="B170" s="2" t="s">
        <v>36</v>
      </c>
      <c r="C170" t="s">
        <v>438</v>
      </c>
      <c r="D170" t="s">
        <v>210</v>
      </c>
      <c r="E170" s="2">
        <v>45706</v>
      </c>
      <c r="F170" s="2" cm="1">
        <f t="array" ref="F170">_xlfn.IFS(B170="Owner Surrender",E170,B170="Stray",E170+6,B170="Stray w/identification",E170+11,B170="Bite",E170+10,B170="Other",E170+30,B170="BAS",E170+56,B170="Seized",E170)</f>
        <v>45706</v>
      </c>
      <c r="G170" s="2">
        <v>45706</v>
      </c>
      <c r="H170" s="6">
        <f t="shared" si="4"/>
        <v>0</v>
      </c>
      <c r="I170" s="6">
        <f t="shared" si="5"/>
        <v>0</v>
      </c>
      <c r="J170" s="2" t="s">
        <v>31</v>
      </c>
      <c r="L170" t="s">
        <v>439</v>
      </c>
    </row>
    <row r="171" spans="1:12" x14ac:dyDescent="0.25">
      <c r="A171" s="1">
        <v>39682</v>
      </c>
      <c r="B171" s="2" t="s">
        <v>36</v>
      </c>
      <c r="C171" t="s">
        <v>436</v>
      </c>
      <c r="D171" t="s">
        <v>211</v>
      </c>
      <c r="E171" s="2">
        <v>45706</v>
      </c>
      <c r="F171" s="2" cm="1">
        <f t="array" ref="F171">_xlfn.IFS(B171="Owner Surrender",E171,B171="Stray",E171+6,B171="Stray w/identification",E171+11,B171="Bite",E171+10,B171="Other",E171+30,B171="BAS",E171+56,B171="Seized",E171)</f>
        <v>45706</v>
      </c>
      <c r="G171" s="2">
        <v>45708</v>
      </c>
      <c r="H171" s="6">
        <f t="shared" si="4"/>
        <v>2</v>
      </c>
      <c r="I171" s="6">
        <f t="shared" si="5"/>
        <v>2</v>
      </c>
      <c r="J171" s="2" t="s">
        <v>31</v>
      </c>
      <c r="K171" t="s">
        <v>437</v>
      </c>
    </row>
    <row r="172" spans="1:12" x14ac:dyDescent="0.25">
      <c r="A172" s="1">
        <v>39683</v>
      </c>
      <c r="B172" s="2" t="s">
        <v>38</v>
      </c>
      <c r="C172" t="s">
        <v>489</v>
      </c>
      <c r="D172" t="s">
        <v>208</v>
      </c>
      <c r="E172" s="2">
        <v>45707</v>
      </c>
      <c r="F172" s="2" cm="1">
        <f t="array" ref="F172">_xlfn.IFS(B172="Owner Surrender",E172,B172="Stray",E172+6,B172="Stray w/identification",E172+11,B172="Bite",E172+10,B172="Other",E172+30,B172="BAS",E172+56,B172="Seized",E172)</f>
        <v>45713</v>
      </c>
      <c r="G172" s="2">
        <v>45709</v>
      </c>
      <c r="H172" s="6">
        <f t="shared" si="4"/>
        <v>2</v>
      </c>
      <c r="I172" s="6">
        <f t="shared" si="5"/>
        <v>-4</v>
      </c>
      <c r="J172" s="2" t="s">
        <v>8</v>
      </c>
    </row>
    <row r="173" spans="1:12" x14ac:dyDescent="0.25">
      <c r="A173" s="1">
        <v>39684</v>
      </c>
      <c r="B173" s="2" t="s">
        <v>36</v>
      </c>
      <c r="C173" t="s">
        <v>56</v>
      </c>
      <c r="D173" t="s">
        <v>208</v>
      </c>
      <c r="E173" s="2">
        <v>45706</v>
      </c>
      <c r="F173" s="2" cm="1">
        <f t="array" ref="F173">_xlfn.IFS(B173="Owner Surrender",E173,B173="Stray",E173+6,B173="Stray w/identification",E173+11,B173="Bite",E173+10,B173="Other",E173+30,B173="BAS",E173+56,B173="Seized",E173)</f>
        <v>45706</v>
      </c>
      <c r="G173" s="2">
        <v>45716</v>
      </c>
      <c r="H173" s="6">
        <f t="shared" si="4"/>
        <v>10</v>
      </c>
      <c r="I173" s="6">
        <f t="shared" si="5"/>
        <v>10</v>
      </c>
      <c r="J173" s="2" t="s">
        <v>31</v>
      </c>
      <c r="K173" t="s">
        <v>488</v>
      </c>
    </row>
    <row r="174" spans="1:12" x14ac:dyDescent="0.25">
      <c r="A174" s="1">
        <v>39685</v>
      </c>
      <c r="B174" s="2" t="s">
        <v>180</v>
      </c>
      <c r="C174" t="s">
        <v>49</v>
      </c>
      <c r="D174" t="s">
        <v>208</v>
      </c>
      <c r="E174" s="2">
        <v>45707</v>
      </c>
      <c r="F174" s="2" cm="1">
        <f t="array" ref="F174">_xlfn.IFS(B174="Owner Surrender",E174,B174="Stray",E174+6,B174="Stray w/identification",E174+11,B174="Bite",E174+10,B174="Other",E174+30,B174="BAS",E174+56,B174="Seized",E174)</f>
        <v>45718</v>
      </c>
      <c r="G174" s="2">
        <v>45719</v>
      </c>
      <c r="H174" s="6">
        <f t="shared" si="4"/>
        <v>12</v>
      </c>
      <c r="I174" s="6">
        <f t="shared" si="5"/>
        <v>1</v>
      </c>
      <c r="J174" s="2" t="s">
        <v>31</v>
      </c>
      <c r="K174" t="s">
        <v>487</v>
      </c>
    </row>
    <row r="175" spans="1:12" x14ac:dyDescent="0.25">
      <c r="A175" s="1">
        <v>39686</v>
      </c>
      <c r="B175" s="2" t="s">
        <v>36</v>
      </c>
      <c r="C175" t="s">
        <v>486</v>
      </c>
      <c r="D175" t="s">
        <v>211</v>
      </c>
      <c r="E175" s="2">
        <v>45707</v>
      </c>
      <c r="F175" s="2" cm="1">
        <f t="array" ref="F175">_xlfn.IFS(B175="Owner Surrender",E175,B175="Stray",E175+6,B175="Stray w/identification",E175+11,B175="Bite",E175+10,B175="Other",E175+30,B175="BAS",E175+56,B175="Seized",E175)</f>
        <v>45707</v>
      </c>
      <c r="G175" s="2">
        <v>45707</v>
      </c>
      <c r="H175" s="6">
        <f t="shared" si="4"/>
        <v>0</v>
      </c>
      <c r="I175" s="6">
        <f t="shared" si="5"/>
        <v>0</v>
      </c>
      <c r="J175" s="2" t="s">
        <v>31</v>
      </c>
      <c r="L175" t="s">
        <v>455</v>
      </c>
    </row>
    <row r="176" spans="1:12" x14ac:dyDescent="0.25">
      <c r="A176" s="1">
        <v>39687</v>
      </c>
      <c r="B176" s="2" t="s">
        <v>36</v>
      </c>
      <c r="C176" t="s">
        <v>168</v>
      </c>
      <c r="D176" t="s">
        <v>211</v>
      </c>
      <c r="E176" s="2">
        <v>45707</v>
      </c>
      <c r="F176" s="2" cm="1">
        <f t="array" ref="F176">_xlfn.IFS(B176="Owner Surrender",E176,B176="Stray",E176+6,B176="Stray w/identification",E176+11,B176="Bite",E176+10,B176="Other",E176+30,B176="BAS",E176+56,B176="Seized",E176)</f>
        <v>45707</v>
      </c>
      <c r="G176" s="2">
        <v>45714</v>
      </c>
      <c r="H176" s="6">
        <f t="shared" si="4"/>
        <v>7</v>
      </c>
      <c r="I176" s="6">
        <f t="shared" si="5"/>
        <v>7</v>
      </c>
      <c r="J176" s="2" t="s">
        <v>31</v>
      </c>
      <c r="K176" t="s">
        <v>234</v>
      </c>
    </row>
    <row r="177" spans="1:12" x14ac:dyDescent="0.25">
      <c r="A177" s="1">
        <v>39688</v>
      </c>
      <c r="B177" s="2" t="s">
        <v>36</v>
      </c>
      <c r="C177" t="s">
        <v>484</v>
      </c>
      <c r="D177" t="s">
        <v>208</v>
      </c>
      <c r="E177" s="2">
        <v>45707</v>
      </c>
      <c r="F177" s="2" cm="1">
        <f t="array" ref="F177">_xlfn.IFS(B177="Owner Surrender",E177,B177="Stray",E177+6,B177="Stray w/identification",E177+11,B177="Bite",E177+10,B177="Other",E177+30,B177="BAS",E177+56,B177="Seized",E177)</f>
        <v>45707</v>
      </c>
      <c r="G177" s="2">
        <v>45714</v>
      </c>
      <c r="H177" s="6">
        <f t="shared" si="4"/>
        <v>7</v>
      </c>
      <c r="I177" s="6">
        <f t="shared" si="5"/>
        <v>7</v>
      </c>
      <c r="J177" s="2" t="s">
        <v>31</v>
      </c>
      <c r="K177" t="s">
        <v>485</v>
      </c>
    </row>
    <row r="178" spans="1:12" x14ac:dyDescent="0.25">
      <c r="A178" s="1">
        <v>39689</v>
      </c>
      <c r="B178" s="2" t="s">
        <v>36</v>
      </c>
      <c r="C178" t="s">
        <v>149</v>
      </c>
      <c r="D178" t="s">
        <v>208</v>
      </c>
      <c r="E178" s="2">
        <v>45707</v>
      </c>
      <c r="F178" s="2" cm="1">
        <f t="array" ref="F178">_xlfn.IFS(B178="Owner Surrender",E178,B178="Stray",E178+6,B178="Stray w/identification",E178+11,B178="Bite",E178+10,B178="Other",E178+30,B178="BAS",E178+56,B178="Seized",E178)</f>
        <v>45707</v>
      </c>
      <c r="G178" s="2">
        <v>45714</v>
      </c>
      <c r="H178" s="6">
        <f t="shared" si="4"/>
        <v>7</v>
      </c>
      <c r="I178" s="6">
        <f t="shared" si="5"/>
        <v>7</v>
      </c>
      <c r="J178" s="2" t="s">
        <v>31</v>
      </c>
      <c r="K178" t="s">
        <v>139</v>
      </c>
    </row>
    <row r="179" spans="1:12" x14ac:dyDescent="0.25">
      <c r="A179" s="1">
        <v>39690</v>
      </c>
      <c r="B179" s="2" t="s">
        <v>42</v>
      </c>
      <c r="C179" t="s">
        <v>50</v>
      </c>
      <c r="D179" t="s">
        <v>211</v>
      </c>
      <c r="E179" s="2">
        <v>45709</v>
      </c>
      <c r="F179" s="2" cm="1">
        <f t="array" ref="F179">_xlfn.IFS(B179="Owner Surrender",E179,B179="Stray",E179+6,B179="Stray w/identification",E179+11,B179="Bite",E179+10,B179="Other",E179+30,B179="BAS",E179+56,B179="Seized",E179)</f>
        <v>45719</v>
      </c>
      <c r="G179" s="2">
        <v>45757</v>
      </c>
      <c r="H179" s="6">
        <f t="shared" si="4"/>
        <v>48</v>
      </c>
      <c r="I179" s="6">
        <f t="shared" si="5"/>
        <v>38</v>
      </c>
      <c r="J179" s="2" t="s">
        <v>8</v>
      </c>
    </row>
    <row r="180" spans="1:12" x14ac:dyDescent="0.25">
      <c r="A180" s="1">
        <v>39691</v>
      </c>
      <c r="B180" s="2" t="s">
        <v>180</v>
      </c>
      <c r="C180" t="s">
        <v>79</v>
      </c>
      <c r="D180" t="s">
        <v>208</v>
      </c>
      <c r="E180" s="2">
        <v>45709</v>
      </c>
      <c r="F180" s="2" cm="1">
        <f t="array" ref="F180">_xlfn.IFS(B180="Owner Surrender",E180,B180="Stray",E180+6,B180="Stray w/identification",E180+11,B180="Bite",E180+10,B180="Other",E180+30,B180="BAS",E180+56,B180="Seized",E180)</f>
        <v>45720</v>
      </c>
      <c r="G180" s="2">
        <v>45721</v>
      </c>
      <c r="H180" s="6">
        <f t="shared" si="4"/>
        <v>12</v>
      </c>
      <c r="I180" s="6">
        <f t="shared" si="5"/>
        <v>1</v>
      </c>
      <c r="J180" s="2" t="s">
        <v>31</v>
      </c>
    </row>
    <row r="181" spans="1:12" x14ac:dyDescent="0.25">
      <c r="A181" s="1">
        <v>39692</v>
      </c>
      <c r="B181" s="2" t="s">
        <v>36</v>
      </c>
      <c r="C181" t="s">
        <v>481</v>
      </c>
      <c r="D181" t="s">
        <v>208</v>
      </c>
      <c r="E181" s="2">
        <v>45709</v>
      </c>
      <c r="F181" s="2" cm="1">
        <f t="array" ref="F181">_xlfn.IFS(B181="Owner Surrender",E181,B181="Stray",E181+6,B181="Stray w/identification",E181+11,B181="Bite",E181+10,B181="Other",E181+30,B181="BAS",E181+56,B181="Seized",E181)</f>
        <v>45709</v>
      </c>
      <c r="G181" s="2">
        <v>45714</v>
      </c>
      <c r="H181" s="6">
        <f t="shared" si="4"/>
        <v>5</v>
      </c>
      <c r="I181" s="6">
        <f t="shared" si="5"/>
        <v>5</v>
      </c>
      <c r="J181" s="2" t="s">
        <v>31</v>
      </c>
      <c r="K181" t="s">
        <v>483</v>
      </c>
    </row>
    <row r="182" spans="1:12" x14ac:dyDescent="0.25">
      <c r="A182" s="1">
        <v>39693</v>
      </c>
      <c r="B182" s="2" t="s">
        <v>36</v>
      </c>
      <c r="C182" t="s">
        <v>481</v>
      </c>
      <c r="D182" t="s">
        <v>208</v>
      </c>
      <c r="E182" s="2">
        <v>45709</v>
      </c>
      <c r="F182" s="2" cm="1">
        <f t="array" ref="F182">_xlfn.IFS(B182="Owner Surrender",E182,B182="Stray",E182+6,B182="Stray w/identification",E182+11,B182="Bite",E182+10,B182="Other",E182+30,B182="BAS",E182+56,B182="Seized",E182)</f>
        <v>45709</v>
      </c>
      <c r="G182" s="2">
        <v>45714</v>
      </c>
      <c r="H182" s="6">
        <f t="shared" si="4"/>
        <v>5</v>
      </c>
      <c r="I182" s="6">
        <f t="shared" si="5"/>
        <v>5</v>
      </c>
      <c r="J182" s="2" t="s">
        <v>31</v>
      </c>
    </row>
    <row r="183" spans="1:12" x14ac:dyDescent="0.25">
      <c r="A183" s="1">
        <v>39694</v>
      </c>
      <c r="B183" s="2" t="s">
        <v>36</v>
      </c>
      <c r="C183" t="s">
        <v>481</v>
      </c>
      <c r="D183" t="s">
        <v>208</v>
      </c>
      <c r="E183" s="2">
        <v>45709</v>
      </c>
      <c r="F183" s="2" cm="1">
        <f t="array" ref="F183">_xlfn.IFS(B183="Owner Surrender",E183,B183="Stray",E183+6,B183="Stray w/identification",E183+11,B183="Bite",E183+10,B183="Other",E183+30,B183="BAS",E183+56,B183="Seized",E183)</f>
        <v>45709</v>
      </c>
      <c r="G183" s="2">
        <v>45714</v>
      </c>
      <c r="H183" s="6">
        <f t="shared" si="4"/>
        <v>5</v>
      </c>
      <c r="I183" s="6">
        <f t="shared" si="5"/>
        <v>5</v>
      </c>
      <c r="J183" s="2" t="s">
        <v>31</v>
      </c>
      <c r="K183" t="s">
        <v>482</v>
      </c>
    </row>
    <row r="184" spans="1:12" x14ac:dyDescent="0.25">
      <c r="A184" s="1">
        <v>39696</v>
      </c>
      <c r="B184" s="2" t="s">
        <v>180</v>
      </c>
      <c r="C184" t="s">
        <v>507</v>
      </c>
      <c r="D184" t="s">
        <v>209</v>
      </c>
      <c r="E184" s="2">
        <v>45710</v>
      </c>
      <c r="F184" s="2" cm="1">
        <f t="array" ref="F184">_xlfn.IFS(B184="Owner Surrender",E184,B184="Stray",E184+6,B184="Stray w/identification",E184+11,B184="Bite",E184+10,B184="Other",E184+30,B184="BAS",E184+56,B184="Seized",E184)</f>
        <v>45721</v>
      </c>
      <c r="G184" s="2">
        <v>45742</v>
      </c>
      <c r="H184" s="6">
        <f t="shared" si="4"/>
        <v>32</v>
      </c>
      <c r="I184" s="6">
        <f t="shared" si="5"/>
        <v>21</v>
      </c>
      <c r="J184" s="2" t="s">
        <v>18</v>
      </c>
    </row>
    <row r="185" spans="1:12" x14ac:dyDescent="0.25">
      <c r="A185" s="1">
        <v>39699</v>
      </c>
      <c r="B185" s="2" t="s">
        <v>38</v>
      </c>
      <c r="C185" t="s">
        <v>478</v>
      </c>
      <c r="D185" t="s">
        <v>208</v>
      </c>
      <c r="E185" s="2">
        <v>45710</v>
      </c>
      <c r="F185" s="2" cm="1">
        <f t="array" ref="F185">_xlfn.IFS(B185="Owner Surrender",E185,B185="Stray",E185+6,B185="Stray w/identification",E185+11,B185="Bite",E185+10,B185="Other",E185+30,B185="BAS",E185+56,B185="Seized",E185)</f>
        <v>45716</v>
      </c>
      <c r="G185" s="2">
        <v>45719</v>
      </c>
      <c r="H185" s="6">
        <f t="shared" si="4"/>
        <v>9</v>
      </c>
      <c r="I185" s="6">
        <f t="shared" si="5"/>
        <v>3</v>
      </c>
      <c r="J185" s="2" t="s">
        <v>31</v>
      </c>
      <c r="K185" t="s">
        <v>479</v>
      </c>
      <c r="L185" t="s">
        <v>480</v>
      </c>
    </row>
    <row r="186" spans="1:12" x14ac:dyDescent="0.25">
      <c r="A186" s="1">
        <v>39700</v>
      </c>
      <c r="B186" s="2" t="s">
        <v>38</v>
      </c>
      <c r="C186" t="s">
        <v>49</v>
      </c>
      <c r="D186" t="s">
        <v>208</v>
      </c>
      <c r="E186" s="2">
        <v>45710</v>
      </c>
      <c r="F186" s="2" cm="1">
        <f t="array" ref="F186">_xlfn.IFS(B186="Owner Surrender",E186,B186="Stray",E186+6,B186="Stray w/identification",E186+11,B186="Bite",E186+10,B186="Other",E186+30,B186="BAS",E186+56,B186="Seized",E186)</f>
        <v>45716</v>
      </c>
      <c r="G186" s="2">
        <v>45724</v>
      </c>
      <c r="H186" s="6">
        <f t="shared" si="4"/>
        <v>14</v>
      </c>
      <c r="I186" s="6">
        <f t="shared" si="5"/>
        <v>8</v>
      </c>
      <c r="J186" s="2" t="s">
        <v>11</v>
      </c>
      <c r="K186" t="s">
        <v>22</v>
      </c>
    </row>
    <row r="187" spans="1:12" x14ac:dyDescent="0.25">
      <c r="A187" s="1">
        <v>39701</v>
      </c>
      <c r="B187" s="2" t="s">
        <v>180</v>
      </c>
      <c r="C187" t="s">
        <v>476</v>
      </c>
      <c r="D187" t="s">
        <v>208</v>
      </c>
      <c r="E187" s="2">
        <v>45710</v>
      </c>
      <c r="F187" s="2" cm="1">
        <f t="array" ref="F187">_xlfn.IFS(B187="Owner Surrender",E187,B187="Stray",E187+6,B187="Stray w/identification",E187+11,B187="Bite",E187+10,B187="Other",E187+30,B187="BAS",E187+56,B187="Seized",E187)</f>
        <v>45721</v>
      </c>
      <c r="G187" s="2">
        <v>45714</v>
      </c>
      <c r="H187" s="6">
        <f t="shared" si="4"/>
        <v>4</v>
      </c>
      <c r="I187" s="6">
        <f t="shared" si="5"/>
        <v>-7</v>
      </c>
      <c r="J187" s="2" t="s">
        <v>8</v>
      </c>
      <c r="K187" t="s">
        <v>477</v>
      </c>
    </row>
    <row r="188" spans="1:12" x14ac:dyDescent="0.25">
      <c r="A188" s="1">
        <v>39702</v>
      </c>
      <c r="B188" s="2" t="s">
        <v>38</v>
      </c>
      <c r="C188" t="s">
        <v>52</v>
      </c>
      <c r="D188" t="s">
        <v>208</v>
      </c>
      <c r="E188" s="2">
        <v>45710</v>
      </c>
      <c r="F188" s="2" cm="1">
        <f t="array" ref="F188">_xlfn.IFS(B188="Owner Surrender",E188,B188="Stray",E188+6,B188="Stray w/identification",E188+11,B188="Bite",E188+10,B188="Other",E188+30,B188="BAS",E188+56,B188="Seized",E188)</f>
        <v>45716</v>
      </c>
      <c r="G188" s="2">
        <v>45714</v>
      </c>
      <c r="H188" s="6">
        <f t="shared" si="4"/>
        <v>4</v>
      </c>
      <c r="I188" s="6">
        <f t="shared" si="5"/>
        <v>-2</v>
      </c>
      <c r="J188" s="2" t="s">
        <v>8</v>
      </c>
    </row>
    <row r="189" spans="1:12" x14ac:dyDescent="0.25">
      <c r="A189" s="1">
        <v>39703</v>
      </c>
      <c r="B189" s="2" t="s">
        <v>38</v>
      </c>
      <c r="C189" t="s">
        <v>170</v>
      </c>
      <c r="D189" t="s">
        <v>208</v>
      </c>
      <c r="E189" s="2">
        <v>45711</v>
      </c>
      <c r="F189" s="2" cm="1">
        <f t="array" ref="F189">_xlfn.IFS(B189="Owner Surrender",E189,B189="Stray",E189+6,B189="Stray w/identification",E189+11,B189="Bite",E189+10,B189="Other",E189+30,B189="BAS",E189+56,B189="Seized",E189)</f>
        <v>45717</v>
      </c>
      <c r="G189" s="2">
        <v>45727</v>
      </c>
      <c r="H189" s="6">
        <f t="shared" si="4"/>
        <v>16</v>
      </c>
      <c r="I189" s="6">
        <f t="shared" si="5"/>
        <v>10</v>
      </c>
      <c r="J189" s="2" t="s">
        <v>11</v>
      </c>
      <c r="K189" t="s">
        <v>86</v>
      </c>
    </row>
    <row r="190" spans="1:12" x14ac:dyDescent="0.25">
      <c r="A190" s="1">
        <v>39705</v>
      </c>
      <c r="B190" s="2" t="s">
        <v>38</v>
      </c>
      <c r="C190" t="s">
        <v>149</v>
      </c>
      <c r="D190" t="s">
        <v>209</v>
      </c>
      <c r="E190" s="2">
        <v>45711</v>
      </c>
      <c r="F190" s="2" cm="1">
        <f t="array" ref="F190">_xlfn.IFS(B190="Owner Surrender",E190,B190="Stray",E190+6,B190="Stray w/identification",E190+11,B190="Bite",E190+10,B190="Other",E190+30,B190="BAS",E190+56,B190="Seized",E190)</f>
        <v>45717</v>
      </c>
      <c r="G190" s="2">
        <v>45727</v>
      </c>
      <c r="H190" s="6">
        <f t="shared" si="4"/>
        <v>16</v>
      </c>
      <c r="I190" s="6">
        <f t="shared" si="5"/>
        <v>10</v>
      </c>
      <c r="J190" s="2" t="s">
        <v>31</v>
      </c>
      <c r="K190" t="s">
        <v>475</v>
      </c>
    </row>
    <row r="191" spans="1:12" x14ac:dyDescent="0.25">
      <c r="A191" s="1">
        <v>39706</v>
      </c>
      <c r="B191" s="2" t="s">
        <v>38</v>
      </c>
      <c r="C191" t="s">
        <v>149</v>
      </c>
      <c r="D191" t="s">
        <v>209</v>
      </c>
      <c r="E191" s="2">
        <v>45711</v>
      </c>
      <c r="F191" s="2" cm="1">
        <f t="array" ref="F191">_xlfn.IFS(B191="Owner Surrender",E191,B191="Stray",E191+6,B191="Stray w/identification",E191+11,B191="Bite",E191+10,B191="Other",E191+30,B191="BAS",E191+56,B191="Seized",E191)</f>
        <v>45717</v>
      </c>
      <c r="G191" s="2">
        <v>45723</v>
      </c>
      <c r="H191" s="6">
        <f t="shared" si="4"/>
        <v>12</v>
      </c>
      <c r="I191" s="6">
        <f t="shared" si="5"/>
        <v>6</v>
      </c>
      <c r="J191" s="2" t="s">
        <v>11</v>
      </c>
      <c r="K191" t="s">
        <v>14</v>
      </c>
    </row>
    <row r="192" spans="1:12" x14ac:dyDescent="0.25">
      <c r="A192" s="1">
        <v>39709</v>
      </c>
      <c r="B192" s="2" t="s">
        <v>38</v>
      </c>
      <c r="C192" t="s">
        <v>109</v>
      </c>
      <c r="D192" t="s">
        <v>208</v>
      </c>
      <c r="E192" s="2">
        <v>45712</v>
      </c>
      <c r="F192" s="2" cm="1">
        <f t="array" ref="F192">_xlfn.IFS(B192="Owner Surrender",E192,B192="Stray",E192+6,B192="Stray w/identification",E192+11,B192="Bite",E192+10,B192="Other",E192+30,B192="BAS",E192+56,B192="Seized",E192)</f>
        <v>45718</v>
      </c>
      <c r="G192" s="2">
        <v>45740</v>
      </c>
      <c r="H192" s="6">
        <f t="shared" si="4"/>
        <v>28</v>
      </c>
      <c r="I192" s="6">
        <f t="shared" si="5"/>
        <v>22</v>
      </c>
      <c r="J192" s="2" t="s">
        <v>18</v>
      </c>
      <c r="K192" t="s">
        <v>506</v>
      </c>
    </row>
    <row r="193" spans="1:12" x14ac:dyDescent="0.25">
      <c r="A193" s="1">
        <v>39710</v>
      </c>
      <c r="B193" s="2" t="s">
        <v>38</v>
      </c>
      <c r="C193" t="s">
        <v>109</v>
      </c>
      <c r="D193" t="s">
        <v>208</v>
      </c>
      <c r="E193" s="2">
        <v>45712</v>
      </c>
      <c r="F193" s="2" cm="1">
        <f t="array" ref="F193">_xlfn.IFS(B193="Owner Surrender",E193,B193="Stray",E193+6,B193="Stray w/identification",E193+11,B193="Bite",E193+10,B193="Other",E193+30,B193="BAS",E193+56,B193="Seized",E193)</f>
        <v>45718</v>
      </c>
      <c r="G193" s="2">
        <v>45740</v>
      </c>
      <c r="H193" s="6">
        <f t="shared" si="4"/>
        <v>28</v>
      </c>
      <c r="I193" s="6">
        <f t="shared" si="5"/>
        <v>22</v>
      </c>
      <c r="J193" s="2" t="s">
        <v>18</v>
      </c>
      <c r="K193" t="s">
        <v>91</v>
      </c>
    </row>
    <row r="194" spans="1:12" x14ac:dyDescent="0.25">
      <c r="A194" s="1">
        <v>39711</v>
      </c>
      <c r="B194" s="2" t="s">
        <v>38</v>
      </c>
      <c r="C194" t="s">
        <v>503</v>
      </c>
      <c r="D194" t="s">
        <v>208</v>
      </c>
      <c r="E194" s="2">
        <v>45712</v>
      </c>
      <c r="F194" s="2" cm="1">
        <f t="array" ref="F194">_xlfn.IFS(B194="Owner Surrender",E194,B194="Stray",E194+6,B194="Stray w/identification",E194+11,B194="Bite",E194+10,B194="Other",E194+30,B194="BAS",E194+56,B194="Seized",E194)</f>
        <v>45718</v>
      </c>
      <c r="G194" s="2">
        <v>45733</v>
      </c>
      <c r="H194" s="6">
        <f t="shared" si="4"/>
        <v>21</v>
      </c>
      <c r="I194" s="6">
        <f t="shared" si="5"/>
        <v>15</v>
      </c>
      <c r="J194" s="2" t="s">
        <v>18</v>
      </c>
      <c r="K194" t="s">
        <v>505</v>
      </c>
    </row>
    <row r="195" spans="1:12" x14ac:dyDescent="0.25">
      <c r="A195" s="1">
        <v>39712</v>
      </c>
      <c r="B195" s="2" t="s">
        <v>38</v>
      </c>
      <c r="C195" t="s">
        <v>503</v>
      </c>
      <c r="D195" t="s">
        <v>208</v>
      </c>
      <c r="E195" s="2">
        <v>45712</v>
      </c>
      <c r="F195" s="2" cm="1">
        <f t="array" ref="F195">_xlfn.IFS(B195="Owner Surrender",E195,B195="Stray",E195+6,B195="Stray w/identification",E195+11,B195="Bite",E195+10,B195="Other",E195+30,B195="BAS",E195+56,B195="Seized",E195)</f>
        <v>45718</v>
      </c>
      <c r="G195" s="2">
        <v>45733</v>
      </c>
      <c r="H195" s="6">
        <f t="shared" ref="H195:H258" si="6">+G195-E195</f>
        <v>21</v>
      </c>
      <c r="I195" s="6">
        <f t="shared" ref="I195:I258" si="7">G195-F195</f>
        <v>15</v>
      </c>
      <c r="J195" s="2" t="s">
        <v>18</v>
      </c>
      <c r="K195" t="s">
        <v>504</v>
      </c>
    </row>
    <row r="196" spans="1:12" x14ac:dyDescent="0.25">
      <c r="A196" s="1">
        <v>39715</v>
      </c>
      <c r="B196" s="2" t="s">
        <v>36</v>
      </c>
      <c r="C196" t="s">
        <v>50</v>
      </c>
      <c r="D196" t="s">
        <v>208</v>
      </c>
      <c r="E196" s="2">
        <v>45712</v>
      </c>
      <c r="F196" s="2" cm="1">
        <f t="array" ref="F196">_xlfn.IFS(B196="Owner Surrender",E196,B196="Stray",E196+6,B196="Stray w/identification",E196+11,B196="Bite",E196+10,B196="Other",E196+30,B196="BAS",E196+56,B196="Seized",E196)</f>
        <v>45712</v>
      </c>
      <c r="G196" s="2">
        <v>45727</v>
      </c>
      <c r="H196" s="6">
        <f t="shared" si="6"/>
        <v>15</v>
      </c>
      <c r="I196" s="6">
        <f t="shared" si="7"/>
        <v>15</v>
      </c>
      <c r="J196" s="2" t="s">
        <v>31</v>
      </c>
      <c r="K196" t="s">
        <v>461</v>
      </c>
    </row>
    <row r="197" spans="1:12" x14ac:dyDescent="0.25">
      <c r="A197" s="1">
        <v>39716</v>
      </c>
      <c r="B197" s="2" t="s">
        <v>36</v>
      </c>
      <c r="C197" t="s">
        <v>49</v>
      </c>
      <c r="D197" t="s">
        <v>208</v>
      </c>
      <c r="E197" s="2">
        <v>45712</v>
      </c>
      <c r="F197" s="2" cm="1">
        <f t="array" ref="F197">_xlfn.IFS(B197="Owner Surrender",E197,B197="Stray",E197+6,B197="Stray w/identification",E197+11,B197="Bite",E197+10,B197="Other",E197+30,B197="BAS",E197+56,B197="Seized",E197)</f>
        <v>45712</v>
      </c>
      <c r="G197" s="2">
        <v>45714</v>
      </c>
      <c r="H197" s="6">
        <f t="shared" si="6"/>
        <v>2</v>
      </c>
      <c r="I197" s="6">
        <f t="shared" si="7"/>
        <v>2</v>
      </c>
      <c r="J197" s="2" t="s">
        <v>31</v>
      </c>
      <c r="K197" t="s">
        <v>473</v>
      </c>
      <c r="L197" t="s">
        <v>474</v>
      </c>
    </row>
    <row r="198" spans="1:12" x14ac:dyDescent="0.25">
      <c r="A198" s="1">
        <v>39717</v>
      </c>
      <c r="B198" s="2" t="s">
        <v>38</v>
      </c>
      <c r="C198" t="s">
        <v>149</v>
      </c>
      <c r="D198" t="s">
        <v>208</v>
      </c>
      <c r="E198" s="2">
        <v>45712</v>
      </c>
      <c r="F198" s="2" cm="1">
        <f t="array" ref="F198">_xlfn.IFS(B198="Owner Surrender",E198,B198="Stray",E198+6,B198="Stray w/identification",E198+11,B198="Bite",E198+10,B198="Other",E198+30,B198="BAS",E198+56,B198="Seized",E198)</f>
        <v>45718</v>
      </c>
      <c r="G198" s="2">
        <v>45721</v>
      </c>
      <c r="H198" s="6">
        <f t="shared" si="6"/>
        <v>9</v>
      </c>
      <c r="I198" s="6">
        <f t="shared" si="7"/>
        <v>3</v>
      </c>
      <c r="J198" s="2" t="s">
        <v>31</v>
      </c>
      <c r="K198" t="s">
        <v>472</v>
      </c>
    </row>
    <row r="199" spans="1:12" x14ac:dyDescent="0.25">
      <c r="A199" s="1">
        <v>39718</v>
      </c>
      <c r="B199" s="2" t="s">
        <v>38</v>
      </c>
      <c r="C199" t="s">
        <v>56</v>
      </c>
      <c r="D199" t="s">
        <v>208</v>
      </c>
      <c r="E199" s="2">
        <v>45712</v>
      </c>
      <c r="F199" s="2" cm="1">
        <f t="array" ref="F199">_xlfn.IFS(B199="Owner Surrender",E199,B199="Stray",E199+6,B199="Stray w/identification",E199+11,B199="Bite",E199+10,B199="Other",E199+30,B199="BAS",E199+56,B199="Seized",E199)</f>
        <v>45718</v>
      </c>
      <c r="G199" s="2">
        <v>45730</v>
      </c>
      <c r="H199" s="6">
        <f t="shared" si="6"/>
        <v>18</v>
      </c>
      <c r="I199" s="6">
        <f t="shared" si="7"/>
        <v>12</v>
      </c>
      <c r="J199" s="2" t="s">
        <v>31</v>
      </c>
      <c r="K199" t="s">
        <v>471</v>
      </c>
    </row>
    <row r="200" spans="1:12" x14ac:dyDescent="0.25">
      <c r="A200" s="1">
        <v>39725</v>
      </c>
      <c r="B200" s="2" t="s">
        <v>38</v>
      </c>
      <c r="C200" t="s">
        <v>73</v>
      </c>
      <c r="D200" t="s">
        <v>208</v>
      </c>
      <c r="E200" s="2">
        <v>45713</v>
      </c>
      <c r="F200" s="2" cm="1">
        <f t="array" ref="F200">_xlfn.IFS(B200="Owner Surrender",E200,B200="Stray",E200+6,B200="Stray w/identification",E200+11,B200="Bite",E200+10,B200="Other",E200+30,B200="BAS",E200+56,B200="Seized",E200)</f>
        <v>45719</v>
      </c>
      <c r="G200" s="2">
        <v>45721</v>
      </c>
      <c r="H200" s="6">
        <f t="shared" si="6"/>
        <v>8</v>
      </c>
      <c r="I200" s="6">
        <f t="shared" si="7"/>
        <v>2</v>
      </c>
      <c r="J200" s="2" t="s">
        <v>31</v>
      </c>
    </row>
    <row r="201" spans="1:12" x14ac:dyDescent="0.25">
      <c r="A201" s="1">
        <v>39726</v>
      </c>
      <c r="B201" s="2" t="s">
        <v>38</v>
      </c>
      <c r="C201" t="s">
        <v>73</v>
      </c>
      <c r="D201" t="s">
        <v>208</v>
      </c>
      <c r="E201" s="2">
        <v>45713</v>
      </c>
      <c r="F201" s="2" cm="1">
        <f t="array" ref="F201">_xlfn.IFS(B201="Owner Surrender",E201,B201="Stray",E201+6,B201="Stray w/identification",E201+11,B201="Bite",E201+10,B201="Other",E201+30,B201="BAS",E201+56,B201="Seized",E201)</f>
        <v>45719</v>
      </c>
      <c r="G201" s="2">
        <v>45716</v>
      </c>
      <c r="H201" s="6">
        <f t="shared" si="6"/>
        <v>3</v>
      </c>
      <c r="I201" s="6">
        <f t="shared" si="7"/>
        <v>-3</v>
      </c>
      <c r="J201" s="2" t="s">
        <v>31</v>
      </c>
      <c r="L201" t="s">
        <v>470</v>
      </c>
    </row>
    <row r="202" spans="1:12" x14ac:dyDescent="0.25">
      <c r="A202" s="1">
        <v>39727</v>
      </c>
      <c r="B202" s="2" t="s">
        <v>36</v>
      </c>
      <c r="C202" t="s">
        <v>468</v>
      </c>
      <c r="D202" t="s">
        <v>208</v>
      </c>
      <c r="E202" s="2">
        <v>45713</v>
      </c>
      <c r="F202" s="2" cm="1">
        <f t="array" ref="F202">_xlfn.IFS(B202="Owner Surrender",E202,B202="Stray",E202+6,B202="Stray w/identification",E202+11,B202="Bite",E202+10,B202="Other",E202+30,B202="BAS",E202+56,B202="Seized",E202)</f>
        <v>45713</v>
      </c>
      <c r="G202" s="2">
        <v>45716</v>
      </c>
      <c r="H202" s="6">
        <f t="shared" si="6"/>
        <v>3</v>
      </c>
      <c r="I202" s="6">
        <f t="shared" si="7"/>
        <v>3</v>
      </c>
      <c r="J202" s="2" t="s">
        <v>31</v>
      </c>
      <c r="K202" t="s">
        <v>233</v>
      </c>
      <c r="L202" t="s">
        <v>469</v>
      </c>
    </row>
    <row r="203" spans="1:12" x14ac:dyDescent="0.25">
      <c r="A203" s="1">
        <v>39731</v>
      </c>
      <c r="B203" s="2" t="s">
        <v>180</v>
      </c>
      <c r="C203" t="s">
        <v>73</v>
      </c>
      <c r="D203" t="s">
        <v>208</v>
      </c>
      <c r="E203" s="2">
        <v>45714</v>
      </c>
      <c r="F203" s="2" cm="1">
        <f t="array" ref="F203">_xlfn.IFS(B203="Owner Surrender",E203,B203="Stray",E203+6,B203="Stray w/identification",E203+11,B203="Bite",E203+10,B203="Other",E203+30,B203="BAS",E203+56,B203="Seized",E203)</f>
        <v>45725</v>
      </c>
      <c r="G203" s="2">
        <v>45737</v>
      </c>
      <c r="H203" s="6">
        <f t="shared" si="6"/>
        <v>23</v>
      </c>
      <c r="I203" s="6">
        <f t="shared" si="7"/>
        <v>12</v>
      </c>
      <c r="J203" s="2" t="s">
        <v>31</v>
      </c>
    </row>
    <row r="204" spans="1:12" x14ac:dyDescent="0.25">
      <c r="A204" s="1">
        <v>39732</v>
      </c>
      <c r="B204" s="2" t="s">
        <v>36</v>
      </c>
      <c r="C204" t="s">
        <v>90</v>
      </c>
      <c r="D204" t="s">
        <v>211</v>
      </c>
      <c r="E204" s="2">
        <v>45714</v>
      </c>
      <c r="F204" s="2" cm="1">
        <f t="array" ref="F204">_xlfn.IFS(B204="Owner Surrender",E204,B204="Stray",E204+6,B204="Stray w/identification",E204+11,B204="Bite",E204+10,B204="Other",E204+30,B204="BAS",E204+56,B204="Seized",E204)</f>
        <v>45714</v>
      </c>
      <c r="G204" s="2">
        <v>45714</v>
      </c>
      <c r="H204" s="6">
        <f t="shared" si="6"/>
        <v>0</v>
      </c>
      <c r="I204" s="6">
        <f t="shared" si="7"/>
        <v>0</v>
      </c>
      <c r="J204" s="2" t="s">
        <v>31</v>
      </c>
      <c r="L204" t="s">
        <v>455</v>
      </c>
    </row>
    <row r="205" spans="1:12" x14ac:dyDescent="0.25">
      <c r="A205" s="1">
        <v>39744</v>
      </c>
      <c r="B205" s="2" t="s">
        <v>53</v>
      </c>
      <c r="C205" t="s">
        <v>50</v>
      </c>
      <c r="D205" t="s">
        <v>208</v>
      </c>
      <c r="E205" s="2">
        <v>45715</v>
      </c>
      <c r="F205" s="2" cm="1">
        <f t="array" ref="F205">_xlfn.IFS(B205="Owner Surrender",E205,B205="Stray",E205+6,B205="Stray w/identification",E205+11,B205="Bite",E205+10,B205="Other",E205+30,B205="BAS",E205+56,B205="Seized",E205)</f>
        <v>45715</v>
      </c>
      <c r="G205" s="20">
        <v>45716</v>
      </c>
      <c r="H205" s="6">
        <f t="shared" si="6"/>
        <v>1</v>
      </c>
      <c r="I205" s="6">
        <f t="shared" si="7"/>
        <v>1</v>
      </c>
      <c r="J205" s="2" t="s">
        <v>31</v>
      </c>
    </row>
    <row r="206" spans="1:12" x14ac:dyDescent="0.25">
      <c r="A206" s="1">
        <v>39745</v>
      </c>
      <c r="B206" s="2" t="s">
        <v>53</v>
      </c>
      <c r="C206" t="s">
        <v>170</v>
      </c>
      <c r="D206" t="s">
        <v>208</v>
      </c>
      <c r="E206" s="2">
        <v>45715</v>
      </c>
      <c r="F206" s="2" cm="1">
        <f t="array" ref="F206">_xlfn.IFS(B206="Owner Surrender",E206,B206="Stray",E206+6,B206="Stray w/identification",E206+11,B206="Bite",E206+10,B206="Other",E206+30,B206="BAS",E206+56,B206="Seized",E206)</f>
        <v>45715</v>
      </c>
      <c r="G206" s="2">
        <v>45742</v>
      </c>
      <c r="H206" s="6">
        <f t="shared" si="6"/>
        <v>27</v>
      </c>
      <c r="I206" s="6">
        <f t="shared" si="7"/>
        <v>27</v>
      </c>
      <c r="J206" s="2" t="s">
        <v>11</v>
      </c>
    </row>
    <row r="207" spans="1:12" x14ac:dyDescent="0.25">
      <c r="A207" s="1">
        <v>39746</v>
      </c>
      <c r="B207" s="2" t="s">
        <v>53</v>
      </c>
      <c r="C207" t="s">
        <v>50</v>
      </c>
      <c r="D207" t="s">
        <v>208</v>
      </c>
      <c r="E207" s="2">
        <v>45715</v>
      </c>
      <c r="F207" s="2" cm="1">
        <f t="array" ref="F207">_xlfn.IFS(B207="Owner Surrender",E207,B207="Stray",E207+6,B207="Stray w/identification",E207+11,B207="Bite",E207+10,B207="Other",E207+30,B207="BAS",E207+56,B207="Seized",E207)</f>
        <v>45715</v>
      </c>
      <c r="G207" s="2">
        <v>45744</v>
      </c>
      <c r="H207" s="6">
        <f t="shared" si="6"/>
        <v>29</v>
      </c>
      <c r="I207" s="6">
        <f t="shared" si="7"/>
        <v>29</v>
      </c>
      <c r="J207" s="2" t="s">
        <v>31</v>
      </c>
    </row>
    <row r="208" spans="1:12" x14ac:dyDescent="0.25">
      <c r="A208" s="1">
        <v>39751</v>
      </c>
      <c r="B208" s="2" t="s">
        <v>38</v>
      </c>
      <c r="C208" t="s">
        <v>70</v>
      </c>
      <c r="D208" t="s">
        <v>209</v>
      </c>
      <c r="E208" s="2">
        <v>45715</v>
      </c>
      <c r="F208" s="2" cm="1">
        <f t="array" ref="F208">_xlfn.IFS(B208="Owner Surrender",E208,B208="Stray",E208+6,B208="Stray w/identification",E208+11,B208="Bite",E208+10,B208="Other",E208+30,B208="BAS",E208+56,B208="Seized",E208)</f>
        <v>45721</v>
      </c>
      <c r="G208" s="2">
        <v>45731</v>
      </c>
      <c r="H208" s="6">
        <f t="shared" si="6"/>
        <v>16</v>
      </c>
      <c r="I208" s="6">
        <f t="shared" si="7"/>
        <v>10</v>
      </c>
      <c r="J208" s="2" t="s">
        <v>18</v>
      </c>
      <c r="K208" t="s">
        <v>502</v>
      </c>
    </row>
    <row r="209" spans="1:11" x14ac:dyDescent="0.25">
      <c r="A209" s="1">
        <v>39752</v>
      </c>
      <c r="B209" s="2" t="s">
        <v>38</v>
      </c>
      <c r="C209" t="s">
        <v>49</v>
      </c>
      <c r="D209" t="s">
        <v>208</v>
      </c>
      <c r="E209" s="2">
        <v>45715</v>
      </c>
      <c r="F209" s="2" cm="1">
        <f t="array" ref="F209">_xlfn.IFS(B209="Owner Surrender",E209,B209="Stray",E209+6,B209="Stray w/identification",E209+11,B209="Bite",E209+10,B209="Other",E209+30,B209="BAS",E209+56,B209="Seized",E209)</f>
        <v>45721</v>
      </c>
      <c r="G209" s="2">
        <v>45723</v>
      </c>
      <c r="H209" s="6">
        <f t="shared" si="6"/>
        <v>8</v>
      </c>
      <c r="I209" s="6">
        <f t="shared" si="7"/>
        <v>2</v>
      </c>
      <c r="J209" s="2" t="s">
        <v>31</v>
      </c>
    </row>
    <row r="210" spans="1:11" x14ac:dyDescent="0.25">
      <c r="A210" s="1">
        <v>39753</v>
      </c>
      <c r="B210" s="2" t="s">
        <v>36</v>
      </c>
      <c r="C210" t="s">
        <v>50</v>
      </c>
      <c r="D210" t="s">
        <v>208</v>
      </c>
      <c r="E210" s="2">
        <v>45716</v>
      </c>
      <c r="F210" s="2" cm="1">
        <f t="array" ref="F210">_xlfn.IFS(B210="Owner Surrender",E210,B210="Stray",E210+6,B210="Stray w/identification",E210+11,B210="Bite",E210+10,B210="Other",E210+30,B210="BAS",E210+56,B210="Seized",E210)</f>
        <v>45716</v>
      </c>
      <c r="G210" s="2">
        <v>45729</v>
      </c>
      <c r="H210" s="6">
        <f t="shared" si="6"/>
        <v>13</v>
      </c>
      <c r="I210" s="6">
        <f t="shared" si="7"/>
        <v>13</v>
      </c>
      <c r="J210" s="2" t="s">
        <v>31</v>
      </c>
      <c r="K210" t="s">
        <v>467</v>
      </c>
    </row>
    <row r="211" spans="1:11" x14ac:dyDescent="0.25">
      <c r="A211" s="1">
        <v>39754</v>
      </c>
      <c r="B211" s="2" t="s">
        <v>36</v>
      </c>
      <c r="C211" t="s">
        <v>50</v>
      </c>
      <c r="D211" t="s">
        <v>208</v>
      </c>
      <c r="E211" s="2">
        <v>45716</v>
      </c>
      <c r="F211" s="2" cm="1">
        <f t="array" ref="F211">_xlfn.IFS(B211="Owner Surrender",E211,B211="Stray",E211+6,B211="Stray w/identification",E211+11,B211="Bite",E211+10,B211="Other",E211+30,B211="BAS",E211+56,B211="Seized",E211)</f>
        <v>45716</v>
      </c>
      <c r="G211" s="2">
        <v>45729</v>
      </c>
      <c r="H211" s="6">
        <f t="shared" si="6"/>
        <v>13</v>
      </c>
      <c r="I211" s="6">
        <f t="shared" si="7"/>
        <v>13</v>
      </c>
      <c r="J211" s="2" t="s">
        <v>31</v>
      </c>
      <c r="K211" t="s">
        <v>466</v>
      </c>
    </row>
    <row r="212" spans="1:11" x14ac:dyDescent="0.25">
      <c r="A212" s="1">
        <v>39755</v>
      </c>
      <c r="B212" s="2" t="s">
        <v>36</v>
      </c>
      <c r="C212" t="s">
        <v>50</v>
      </c>
      <c r="D212" t="s">
        <v>208</v>
      </c>
      <c r="E212" s="2">
        <v>45716</v>
      </c>
      <c r="F212" s="2" cm="1">
        <f t="array" ref="F212">_xlfn.IFS(B212="Owner Surrender",E212,B212="Stray",E212+6,B212="Stray w/identification",E212+11,B212="Bite",E212+10,B212="Other",E212+30,B212="BAS",E212+56,B212="Seized",E212)</f>
        <v>45716</v>
      </c>
      <c r="G212" s="2">
        <v>45729</v>
      </c>
      <c r="H212" s="6">
        <f t="shared" si="6"/>
        <v>13</v>
      </c>
      <c r="I212" s="6">
        <f t="shared" si="7"/>
        <v>13</v>
      </c>
      <c r="J212" s="2" t="s">
        <v>31</v>
      </c>
      <c r="K212" t="s">
        <v>242</v>
      </c>
    </row>
    <row r="213" spans="1:11" x14ac:dyDescent="0.25">
      <c r="A213" s="1">
        <v>39761</v>
      </c>
      <c r="B213" s="2" t="s">
        <v>36</v>
      </c>
      <c r="C213" t="s">
        <v>50</v>
      </c>
      <c r="D213" t="s">
        <v>209</v>
      </c>
      <c r="E213" s="2">
        <v>45716</v>
      </c>
      <c r="F213" s="2" cm="1">
        <f t="array" ref="F213">_xlfn.IFS(B213="Owner Surrender",E213,B213="Stray",E213+6,B213="Stray w/identification",E213+11,B213="Bite",E213+10,B213="Other",E213+30,B213="BAS",E213+56,B213="Seized",E213)</f>
        <v>45716</v>
      </c>
      <c r="G213" s="2">
        <v>45719</v>
      </c>
      <c r="H213" s="6">
        <f t="shared" si="6"/>
        <v>3</v>
      </c>
      <c r="I213" s="6">
        <f t="shared" si="7"/>
        <v>3</v>
      </c>
      <c r="J213" s="2" t="s">
        <v>31</v>
      </c>
      <c r="K213" t="s">
        <v>465</v>
      </c>
    </row>
    <row r="214" spans="1:11" x14ac:dyDescent="0.25">
      <c r="A214" s="1">
        <v>39762</v>
      </c>
      <c r="B214" s="2" t="s">
        <v>36</v>
      </c>
      <c r="C214" t="s">
        <v>50</v>
      </c>
      <c r="D214" t="s">
        <v>209</v>
      </c>
      <c r="E214" s="2">
        <v>45716</v>
      </c>
      <c r="F214" s="2" cm="1">
        <f t="array" ref="F214">_xlfn.IFS(B214="Owner Surrender",E214,B214="Stray",E214+6,B214="Stray w/identification",E214+11,B214="Bite",E214+10,B214="Other",E214+30,B214="BAS",E214+56,B214="Seized",E214)</f>
        <v>45716</v>
      </c>
      <c r="G214" s="2">
        <v>45719</v>
      </c>
      <c r="H214" s="6">
        <f t="shared" si="6"/>
        <v>3</v>
      </c>
      <c r="I214" s="6">
        <f t="shared" si="7"/>
        <v>3</v>
      </c>
      <c r="J214" s="2" t="s">
        <v>31</v>
      </c>
      <c r="K214" t="s">
        <v>464</v>
      </c>
    </row>
    <row r="215" spans="1:11" x14ac:dyDescent="0.25">
      <c r="A215" s="1">
        <v>39763</v>
      </c>
      <c r="B215" s="2" t="s">
        <v>36</v>
      </c>
      <c r="C215" t="s">
        <v>50</v>
      </c>
      <c r="D215" t="s">
        <v>209</v>
      </c>
      <c r="E215" s="2">
        <v>45716</v>
      </c>
      <c r="F215" s="2" cm="1">
        <f t="array" ref="F215">_xlfn.IFS(B215="Owner Surrender",E215,B215="Stray",E215+6,B215="Stray w/identification",E215+11,B215="Bite",E215+10,B215="Other",E215+30,B215="BAS",E215+56,B215="Seized",E215)</f>
        <v>45716</v>
      </c>
      <c r="G215" s="2">
        <v>45719</v>
      </c>
      <c r="H215" s="6">
        <f t="shared" si="6"/>
        <v>3</v>
      </c>
      <c r="I215" s="6">
        <f t="shared" si="7"/>
        <v>3</v>
      </c>
      <c r="J215" s="2" t="s">
        <v>31</v>
      </c>
      <c r="K215" t="s">
        <v>463</v>
      </c>
    </row>
    <row r="216" spans="1:11" x14ac:dyDescent="0.25">
      <c r="A216" s="1">
        <v>39764</v>
      </c>
      <c r="B216" s="2" t="s">
        <v>36</v>
      </c>
      <c r="C216" t="s">
        <v>50</v>
      </c>
      <c r="D216" t="s">
        <v>209</v>
      </c>
      <c r="E216" s="2">
        <v>45716</v>
      </c>
      <c r="F216" s="2" cm="1">
        <f t="array" ref="F216">_xlfn.IFS(B216="Owner Surrender",E216,B216="Stray",E216+6,B216="Stray w/identification",E216+11,B216="Bite",E216+10,B216="Other",E216+30,B216="BAS",E216+56,B216="Seized",E216)</f>
        <v>45716</v>
      </c>
      <c r="G216" s="2">
        <v>45719</v>
      </c>
      <c r="H216" s="6">
        <f t="shared" si="6"/>
        <v>3</v>
      </c>
      <c r="I216" s="6">
        <f t="shared" si="7"/>
        <v>3</v>
      </c>
      <c r="J216" s="2" t="s">
        <v>31</v>
      </c>
      <c r="K216" t="s">
        <v>462</v>
      </c>
    </row>
    <row r="217" spans="1:11" x14ac:dyDescent="0.25">
      <c r="A217" s="1">
        <v>39765</v>
      </c>
      <c r="B217" s="2" t="s">
        <v>36</v>
      </c>
      <c r="C217" t="s">
        <v>50</v>
      </c>
      <c r="D217" t="s">
        <v>209</v>
      </c>
      <c r="E217" s="2">
        <v>45716</v>
      </c>
      <c r="F217" s="2" cm="1">
        <f t="array" ref="F217">_xlfn.IFS(B217="Owner Surrender",E217,B217="Stray",E217+6,B217="Stray w/identification",E217+11,B217="Bite",E217+10,B217="Other",E217+30,B217="BAS",E217+56,B217="Seized",E217)</f>
        <v>45716</v>
      </c>
      <c r="G217" s="2">
        <v>45719</v>
      </c>
      <c r="H217" s="6">
        <f t="shared" si="6"/>
        <v>3</v>
      </c>
      <c r="I217" s="6">
        <f t="shared" si="7"/>
        <v>3</v>
      </c>
      <c r="J217" s="2" t="s">
        <v>31</v>
      </c>
      <c r="K217" t="s">
        <v>461</v>
      </c>
    </row>
    <row r="218" spans="1:11" x14ac:dyDescent="0.25">
      <c r="A218" s="1">
        <v>39769</v>
      </c>
      <c r="B218" s="2" t="s">
        <v>36</v>
      </c>
      <c r="C218" t="s">
        <v>49</v>
      </c>
      <c r="D218" t="s">
        <v>208</v>
      </c>
      <c r="E218" s="2">
        <v>45717</v>
      </c>
      <c r="F218" s="2" cm="1">
        <f t="array" ref="F218">_xlfn.IFS(B218="Owner Surrender",E218,B218="Stray",E218+6,B218="Stray w/identification",E218+11,B218="Bite",E218+10,B218="Other",E218+30,B218="BAS",E218+56,B218="Seized",E218)</f>
        <v>45717</v>
      </c>
      <c r="G218" s="2">
        <v>45719</v>
      </c>
      <c r="H218" s="6">
        <f t="shared" si="6"/>
        <v>2</v>
      </c>
      <c r="I218" s="6">
        <f t="shared" si="7"/>
        <v>2</v>
      </c>
      <c r="J218" s="2" t="s">
        <v>31</v>
      </c>
    </row>
    <row r="219" spans="1:11" x14ac:dyDescent="0.25">
      <c r="A219" s="1">
        <v>39772</v>
      </c>
      <c r="B219" s="2" t="s">
        <v>36</v>
      </c>
      <c r="C219" t="s">
        <v>518</v>
      </c>
      <c r="D219" t="s">
        <v>208</v>
      </c>
      <c r="E219" s="2">
        <v>45717</v>
      </c>
      <c r="F219" s="2" cm="1">
        <f t="array" ref="F219">_xlfn.IFS(B219="Owner Surrender",E219,B219="Stray",E219+6,B219="Stray w/identification",E219+11,B219="Bite",E219+10,B219="Other",E219+30,B219="BAS",E219+56,B219="Seized",E219)</f>
        <v>45717</v>
      </c>
      <c r="G219" s="2">
        <v>45719</v>
      </c>
      <c r="H219" s="6">
        <f t="shared" si="6"/>
        <v>2</v>
      </c>
      <c r="I219" s="6">
        <f t="shared" si="7"/>
        <v>2</v>
      </c>
      <c r="J219" s="2" t="s">
        <v>31</v>
      </c>
    </row>
    <row r="220" spans="1:11" x14ac:dyDescent="0.25">
      <c r="A220" s="1">
        <v>39773</v>
      </c>
      <c r="B220" s="2" t="s">
        <v>36</v>
      </c>
      <c r="C220" t="s">
        <v>142</v>
      </c>
      <c r="D220" t="s">
        <v>209</v>
      </c>
      <c r="E220" s="2">
        <v>45717</v>
      </c>
      <c r="F220" s="2" cm="1">
        <f t="array" ref="F220">_xlfn.IFS(B220="Owner Surrender",E220,B220="Stray",E220+6,B220="Stray w/identification",E220+11,B220="Bite",E220+10,B220="Other",E220+30,B220="BAS",E220+56,B220="Seized",E220)</f>
        <v>45717</v>
      </c>
      <c r="G220" s="2">
        <v>45719</v>
      </c>
      <c r="H220" s="6">
        <f t="shared" si="6"/>
        <v>2</v>
      </c>
      <c r="I220" s="6">
        <f t="shared" si="7"/>
        <v>2</v>
      </c>
      <c r="J220" s="2" t="s">
        <v>31</v>
      </c>
    </row>
    <row r="221" spans="1:11" x14ac:dyDescent="0.25">
      <c r="A221" s="1">
        <v>39774</v>
      </c>
      <c r="B221" s="2" t="s">
        <v>36</v>
      </c>
      <c r="C221" t="s">
        <v>142</v>
      </c>
      <c r="D221" t="s">
        <v>209</v>
      </c>
      <c r="E221" s="2">
        <v>45717</v>
      </c>
      <c r="F221" s="2" cm="1">
        <f t="array" ref="F221">_xlfn.IFS(B221="Owner Surrender",E221,B221="Stray",E221+6,B221="Stray w/identification",E221+11,B221="Bite",E221+10,B221="Other",E221+30,B221="BAS",E221+56,B221="Seized",E221)</f>
        <v>45717</v>
      </c>
      <c r="G221" s="2">
        <v>45719</v>
      </c>
      <c r="H221" s="6">
        <f t="shared" si="6"/>
        <v>2</v>
      </c>
      <c r="I221" s="6">
        <f t="shared" si="7"/>
        <v>2</v>
      </c>
      <c r="J221" s="2" t="s">
        <v>31</v>
      </c>
    </row>
    <row r="222" spans="1:11" x14ac:dyDescent="0.25">
      <c r="A222" s="1">
        <v>39775</v>
      </c>
      <c r="B222" s="2" t="s">
        <v>36</v>
      </c>
      <c r="C222" t="s">
        <v>142</v>
      </c>
      <c r="D222" t="s">
        <v>209</v>
      </c>
      <c r="E222" s="2">
        <v>45717</v>
      </c>
      <c r="F222" s="2" cm="1">
        <f t="array" ref="F222">_xlfn.IFS(B222="Owner Surrender",E222,B222="Stray",E222+6,B222="Stray w/identification",E222+11,B222="Bite",E222+10,B222="Other",E222+30,B222="BAS",E222+56,B222="Seized",E222)</f>
        <v>45717</v>
      </c>
      <c r="G222" s="2">
        <v>45719</v>
      </c>
      <c r="H222" s="6">
        <f t="shared" si="6"/>
        <v>2</v>
      </c>
      <c r="I222" s="6">
        <f t="shared" si="7"/>
        <v>2</v>
      </c>
      <c r="J222" s="2" t="s">
        <v>31</v>
      </c>
    </row>
    <row r="223" spans="1:11" x14ac:dyDescent="0.25">
      <c r="A223" s="1">
        <v>39776</v>
      </c>
      <c r="B223" s="2" t="s">
        <v>36</v>
      </c>
      <c r="C223" t="s">
        <v>142</v>
      </c>
      <c r="D223" t="s">
        <v>209</v>
      </c>
      <c r="E223" s="2">
        <v>45717</v>
      </c>
      <c r="F223" s="2" cm="1">
        <f t="array" ref="F223">_xlfn.IFS(B223="Owner Surrender",E223,B223="Stray",E223+6,B223="Stray w/identification",E223+11,B223="Bite",E223+10,B223="Other",E223+30,B223="BAS",E223+56,B223="Seized",E223)</f>
        <v>45717</v>
      </c>
      <c r="G223" s="2">
        <v>45719</v>
      </c>
      <c r="H223" s="6">
        <f t="shared" si="6"/>
        <v>2</v>
      </c>
      <c r="I223" s="6">
        <f t="shared" si="7"/>
        <v>2</v>
      </c>
      <c r="J223" s="2" t="s">
        <v>31</v>
      </c>
    </row>
    <row r="224" spans="1:11" x14ac:dyDescent="0.25">
      <c r="A224" s="1">
        <v>39777</v>
      </c>
      <c r="B224" s="2" t="s">
        <v>36</v>
      </c>
      <c r="C224" t="s">
        <v>142</v>
      </c>
      <c r="D224" t="s">
        <v>209</v>
      </c>
      <c r="E224" s="2">
        <v>45717</v>
      </c>
      <c r="F224" s="2" cm="1">
        <f t="array" ref="F224">_xlfn.IFS(B224="Owner Surrender",E224,B224="Stray",E224+6,B224="Stray w/identification",E224+11,B224="Bite",E224+10,B224="Other",E224+30,B224="BAS",E224+56,B224="Seized",E224)</f>
        <v>45717</v>
      </c>
      <c r="G224" s="2">
        <v>45719</v>
      </c>
      <c r="H224" s="6">
        <f t="shared" si="6"/>
        <v>2</v>
      </c>
      <c r="I224" s="6">
        <f t="shared" si="7"/>
        <v>2</v>
      </c>
      <c r="J224" s="2" t="s">
        <v>31</v>
      </c>
    </row>
    <row r="225" spans="1:11" x14ac:dyDescent="0.25">
      <c r="A225" s="1">
        <v>39778</v>
      </c>
      <c r="B225" s="2" t="s">
        <v>36</v>
      </c>
      <c r="C225" t="s">
        <v>142</v>
      </c>
      <c r="D225" t="s">
        <v>209</v>
      </c>
      <c r="E225" s="2">
        <v>45717</v>
      </c>
      <c r="F225" s="2" cm="1">
        <f t="array" ref="F225">_xlfn.IFS(B225="Owner Surrender",E225,B225="Stray",E225+6,B225="Stray w/identification",E225+11,B225="Bite",E225+10,B225="Other",E225+30,B225="BAS",E225+56,B225="Seized",E225)</f>
        <v>45717</v>
      </c>
      <c r="G225" s="2">
        <v>45719</v>
      </c>
      <c r="H225" s="6">
        <f t="shared" si="6"/>
        <v>2</v>
      </c>
      <c r="I225" s="6">
        <f t="shared" si="7"/>
        <v>2</v>
      </c>
      <c r="J225" s="2" t="s">
        <v>31</v>
      </c>
    </row>
    <row r="226" spans="1:11" x14ac:dyDescent="0.25">
      <c r="A226" s="1">
        <v>39780</v>
      </c>
      <c r="B226" s="2" t="s">
        <v>61</v>
      </c>
      <c r="C226" t="s">
        <v>149</v>
      </c>
      <c r="D226" t="s">
        <v>208</v>
      </c>
      <c r="E226" s="2">
        <v>45717</v>
      </c>
      <c r="F226" s="2" cm="1">
        <f t="array" ref="F226">_xlfn.IFS(B226="Owner Surrender",E226,B226="Stray",E226+6,B226="Stray w/identification",E226+11,B226="Bite",E226+10,B226="Other",E226+30,B226="BAS",E226+56,B226="Seized",E226)</f>
        <v>45747</v>
      </c>
      <c r="G226" s="2">
        <v>45717</v>
      </c>
      <c r="H226" s="6">
        <f t="shared" si="6"/>
        <v>0</v>
      </c>
      <c r="I226" s="6">
        <f t="shared" si="7"/>
        <v>-30</v>
      </c>
      <c r="J226" s="2" t="s">
        <v>31</v>
      </c>
    </row>
    <row r="227" spans="1:11" x14ac:dyDescent="0.25">
      <c r="A227" s="1">
        <v>39781</v>
      </c>
      <c r="B227" s="2" t="s">
        <v>36</v>
      </c>
      <c r="C227" t="s">
        <v>514</v>
      </c>
      <c r="D227" t="s">
        <v>208</v>
      </c>
      <c r="E227" s="2">
        <v>45717</v>
      </c>
      <c r="F227" s="2" cm="1">
        <f t="array" ref="F227">_xlfn.IFS(B227="Owner Surrender",E227,B227="Stray",E227+6,B227="Stray w/identification",E227+11,B227="Bite",E227+10,B227="Other",E227+30,B227="BAS",E227+56,B227="Seized",E227)</f>
        <v>45717</v>
      </c>
      <c r="G227" s="2">
        <v>45719</v>
      </c>
      <c r="H227" s="6">
        <f t="shared" si="6"/>
        <v>2</v>
      </c>
      <c r="I227" s="6">
        <f t="shared" si="7"/>
        <v>2</v>
      </c>
      <c r="J227" s="2" t="s">
        <v>31</v>
      </c>
    </row>
    <row r="228" spans="1:11" x14ac:dyDescent="0.25">
      <c r="A228" s="1">
        <v>39782</v>
      </c>
      <c r="B228" s="2" t="s">
        <v>36</v>
      </c>
      <c r="C228" t="s">
        <v>142</v>
      </c>
      <c r="D228" t="s">
        <v>208</v>
      </c>
      <c r="E228" s="2">
        <v>45717</v>
      </c>
      <c r="F228" s="2" cm="1">
        <f t="array" ref="F228">_xlfn.IFS(B228="Owner Surrender",E228,B228="Stray",E228+6,B228="Stray w/identification",E228+11,B228="Bite",E228+10,B228="Other",E228+30,B228="BAS",E228+56,B228="Seized",E228)</f>
        <v>45717</v>
      </c>
      <c r="G228" s="2">
        <v>45719</v>
      </c>
      <c r="H228" s="6">
        <f t="shared" si="6"/>
        <v>2</v>
      </c>
      <c r="I228" s="6">
        <f t="shared" si="7"/>
        <v>2</v>
      </c>
      <c r="J228" s="2" t="s">
        <v>31</v>
      </c>
    </row>
    <row r="229" spans="1:11" x14ac:dyDescent="0.25">
      <c r="A229" s="1">
        <v>39783</v>
      </c>
      <c r="B229" s="2" t="s">
        <v>61</v>
      </c>
      <c r="C229" t="s">
        <v>83</v>
      </c>
      <c r="D229" t="s">
        <v>208</v>
      </c>
      <c r="E229" s="2">
        <v>45718</v>
      </c>
      <c r="F229" s="2" cm="1">
        <f t="array" ref="F229">_xlfn.IFS(B229="Owner Surrender",E229,B229="Stray",E229+6,B229="Stray w/identification",E229+11,B229="Bite",E229+10,B229="Other",E229+30,B229="BAS",E229+56,B229="Seized",E229)</f>
        <v>45748</v>
      </c>
      <c r="G229" s="2">
        <v>45726</v>
      </c>
      <c r="H229" s="6">
        <f t="shared" si="6"/>
        <v>8</v>
      </c>
      <c r="I229" s="6">
        <f t="shared" si="7"/>
        <v>-22</v>
      </c>
      <c r="J229" s="2" t="s">
        <v>8</v>
      </c>
    </row>
    <row r="230" spans="1:11" x14ac:dyDescent="0.25">
      <c r="A230" s="1">
        <v>39784</v>
      </c>
      <c r="B230" s="2" t="s">
        <v>38</v>
      </c>
      <c r="C230" t="s">
        <v>49</v>
      </c>
      <c r="D230" t="s">
        <v>208</v>
      </c>
      <c r="E230" s="2">
        <v>45719</v>
      </c>
      <c r="F230" s="2" cm="1">
        <f t="array" ref="F230">_xlfn.IFS(B230="Owner Surrender",E230,B230="Stray",E230+6,B230="Stray w/identification",E230+11,B230="Bite",E230+10,B230="Other",E230+30,B230="BAS",E230+56,B230="Seized",E230)</f>
        <v>45725</v>
      </c>
      <c r="G230" s="2">
        <v>45733</v>
      </c>
      <c r="H230" s="6">
        <f t="shared" si="6"/>
        <v>14</v>
      </c>
      <c r="I230" s="6">
        <f t="shared" si="7"/>
        <v>8</v>
      </c>
      <c r="J230" s="2" t="s">
        <v>18</v>
      </c>
      <c r="K230" t="s">
        <v>501</v>
      </c>
    </row>
    <row r="231" spans="1:11" x14ac:dyDescent="0.25">
      <c r="A231" s="1">
        <v>39785</v>
      </c>
      <c r="B231" s="2" t="s">
        <v>38</v>
      </c>
      <c r="C231" t="s">
        <v>50</v>
      </c>
      <c r="D231" t="s">
        <v>208</v>
      </c>
      <c r="E231" s="2">
        <v>45719</v>
      </c>
      <c r="F231" s="2" cm="1">
        <f t="array" ref="F231">_xlfn.IFS(B231="Owner Surrender",E231,B231="Stray",E231+6,B231="Stray w/identification",E231+11,B231="Bite",E231+10,B231="Other",E231+30,B231="BAS",E231+56,B231="Seized",E231)</f>
        <v>45725</v>
      </c>
      <c r="G231" s="2">
        <v>45734</v>
      </c>
      <c r="H231" s="6">
        <f t="shared" si="6"/>
        <v>15</v>
      </c>
      <c r="I231" s="6">
        <f t="shared" si="7"/>
        <v>9</v>
      </c>
      <c r="J231" s="2" t="s">
        <v>31</v>
      </c>
    </row>
    <row r="232" spans="1:11" x14ac:dyDescent="0.25">
      <c r="A232" s="1">
        <v>39788</v>
      </c>
      <c r="B232" s="2" t="s">
        <v>38</v>
      </c>
      <c r="C232" t="s">
        <v>90</v>
      </c>
      <c r="D232" t="s">
        <v>211</v>
      </c>
      <c r="E232" s="2">
        <v>45719</v>
      </c>
      <c r="F232" s="2" cm="1">
        <f t="array" ref="F232">_xlfn.IFS(B232="Owner Surrender",E232,B232="Stray",E232+6,B232="Stray w/identification",E232+11,B232="Bite",E232+10,B232="Other",E232+30,B232="BAS",E232+56,B232="Seized",E232)</f>
        <v>45725</v>
      </c>
      <c r="G232" s="2">
        <v>45727</v>
      </c>
      <c r="H232" s="6">
        <f t="shared" si="6"/>
        <v>8</v>
      </c>
      <c r="I232" s="6">
        <f t="shared" si="7"/>
        <v>2</v>
      </c>
      <c r="J232" s="2" t="s">
        <v>31</v>
      </c>
    </row>
    <row r="233" spans="1:11" x14ac:dyDescent="0.25">
      <c r="A233" s="1">
        <v>39789</v>
      </c>
      <c r="B233" s="2" t="s">
        <v>38</v>
      </c>
      <c r="C233" t="s">
        <v>90</v>
      </c>
      <c r="D233" t="s">
        <v>208</v>
      </c>
      <c r="E233" s="2">
        <v>45719</v>
      </c>
      <c r="F233" s="2" cm="1">
        <f t="array" ref="F233">_xlfn.IFS(B233="Owner Surrender",E233,B233="Stray",E233+6,B233="Stray w/identification",E233+11,B233="Bite",E233+10,B233="Other",E233+30,B233="BAS",E233+56,B233="Seized",E233)</f>
        <v>45725</v>
      </c>
      <c r="G233" s="2">
        <v>45727</v>
      </c>
      <c r="H233" s="6">
        <f t="shared" si="6"/>
        <v>8</v>
      </c>
      <c r="I233" s="6">
        <f t="shared" si="7"/>
        <v>2</v>
      </c>
      <c r="J233" s="2" t="s">
        <v>31</v>
      </c>
    </row>
    <row r="234" spans="1:11" x14ac:dyDescent="0.25">
      <c r="A234" s="1">
        <v>39793</v>
      </c>
      <c r="B234" s="2" t="s">
        <v>36</v>
      </c>
      <c r="C234" t="s">
        <v>522</v>
      </c>
      <c r="D234" t="s">
        <v>211</v>
      </c>
      <c r="E234" s="2">
        <v>45719</v>
      </c>
      <c r="F234" s="2" cm="1">
        <f t="array" ref="F234">_xlfn.IFS(B234="Owner Surrender",E234,B234="Stray",E234+6,B234="Stray w/identification",E234+11,B234="Bite",E234+10,B234="Other",E234+30,B234="BAS",E234+56,B234="Seized",E234)</f>
        <v>45719</v>
      </c>
      <c r="G234" s="2">
        <v>45719</v>
      </c>
      <c r="H234" s="6">
        <f t="shared" si="6"/>
        <v>0</v>
      </c>
      <c r="I234" s="6">
        <f t="shared" si="7"/>
        <v>0</v>
      </c>
      <c r="J234" s="2" t="s">
        <v>31</v>
      </c>
    </row>
    <row r="235" spans="1:11" x14ac:dyDescent="0.25">
      <c r="A235" s="1">
        <v>39794</v>
      </c>
      <c r="B235" s="2" t="s">
        <v>36</v>
      </c>
      <c r="C235" t="s">
        <v>73</v>
      </c>
      <c r="D235" t="s">
        <v>209</v>
      </c>
      <c r="E235" s="2">
        <v>45719</v>
      </c>
      <c r="F235" s="2" cm="1">
        <f t="array" ref="F235">_xlfn.IFS(B235="Owner Surrender",E235,B235="Stray",E235+6,B235="Stray w/identification",E235+11,B235="Bite",E235+10,B235="Other",E235+30,B235="BAS",E235+56,B235="Seized",E235)</f>
        <v>45719</v>
      </c>
      <c r="G235" s="2">
        <v>45721</v>
      </c>
      <c r="H235" s="6">
        <f t="shared" si="6"/>
        <v>2</v>
      </c>
      <c r="I235" s="6">
        <f t="shared" si="7"/>
        <v>2</v>
      </c>
      <c r="J235" s="2" t="s">
        <v>31</v>
      </c>
    </row>
    <row r="236" spans="1:11" x14ac:dyDescent="0.25">
      <c r="A236" s="1">
        <v>39795</v>
      </c>
      <c r="B236" s="2" t="s">
        <v>36</v>
      </c>
      <c r="C236" t="s">
        <v>73</v>
      </c>
      <c r="D236" t="s">
        <v>209</v>
      </c>
      <c r="E236" s="2">
        <v>45719</v>
      </c>
      <c r="F236" s="2" cm="1">
        <f t="array" ref="F236">_xlfn.IFS(B236="Owner Surrender",E236,B236="Stray",E236+6,B236="Stray w/identification",E236+11,B236="Bite",E236+10,B236="Other",E236+30,B236="BAS",E236+56,B236="Seized",E236)</f>
        <v>45719</v>
      </c>
      <c r="G236" s="2">
        <v>45721</v>
      </c>
      <c r="H236" s="6">
        <f t="shared" si="6"/>
        <v>2</v>
      </c>
      <c r="I236" s="6">
        <f t="shared" si="7"/>
        <v>2</v>
      </c>
      <c r="J236" s="2" t="s">
        <v>31</v>
      </c>
    </row>
    <row r="237" spans="1:11" x14ac:dyDescent="0.25">
      <c r="A237" s="1">
        <v>39796</v>
      </c>
      <c r="B237" s="2" t="s">
        <v>36</v>
      </c>
      <c r="C237" t="s">
        <v>73</v>
      </c>
      <c r="D237" t="s">
        <v>209</v>
      </c>
      <c r="E237" s="2">
        <v>45719</v>
      </c>
      <c r="F237" s="2" cm="1">
        <f t="array" ref="F237">_xlfn.IFS(B237="Owner Surrender",E237,B237="Stray",E237+6,B237="Stray w/identification",E237+11,B237="Bite",E237+10,B237="Other",E237+30,B237="BAS",E237+56,B237="Seized",E237)</f>
        <v>45719</v>
      </c>
      <c r="G237" s="2">
        <v>45721</v>
      </c>
      <c r="H237" s="6">
        <f t="shared" si="6"/>
        <v>2</v>
      </c>
      <c r="I237" s="6">
        <f t="shared" si="7"/>
        <v>2</v>
      </c>
      <c r="J237" s="2" t="s">
        <v>31</v>
      </c>
    </row>
    <row r="238" spans="1:11" x14ac:dyDescent="0.25">
      <c r="A238" s="1">
        <v>39797</v>
      </c>
      <c r="B238" s="2" t="s">
        <v>36</v>
      </c>
      <c r="C238" t="s">
        <v>73</v>
      </c>
      <c r="D238" t="s">
        <v>209</v>
      </c>
      <c r="E238" s="2">
        <v>45719</v>
      </c>
      <c r="F238" s="2" cm="1">
        <f t="array" ref="F238">_xlfn.IFS(B238="Owner Surrender",E238,B238="Stray",E238+6,B238="Stray w/identification",E238+11,B238="Bite",E238+10,B238="Other",E238+30,B238="BAS",E238+56,B238="Seized",E238)</f>
        <v>45719</v>
      </c>
      <c r="G238" s="2">
        <v>45721</v>
      </c>
      <c r="H238" s="6">
        <f t="shared" si="6"/>
        <v>2</v>
      </c>
      <c r="I238" s="6">
        <f t="shared" si="7"/>
        <v>2</v>
      </c>
      <c r="J238" s="2" t="s">
        <v>31</v>
      </c>
    </row>
    <row r="239" spans="1:11" x14ac:dyDescent="0.25">
      <c r="A239" s="1">
        <v>39798</v>
      </c>
      <c r="B239" s="2" t="s">
        <v>36</v>
      </c>
      <c r="C239" t="s">
        <v>73</v>
      </c>
      <c r="D239" t="s">
        <v>209</v>
      </c>
      <c r="E239" s="2">
        <v>45719</v>
      </c>
      <c r="F239" s="2" cm="1">
        <f t="array" ref="F239">_xlfn.IFS(B239="Owner Surrender",E239,B239="Stray",E239+6,B239="Stray w/identification",E239+11,B239="Bite",E239+10,B239="Other",E239+30,B239="BAS",E239+56,B239="Seized",E239)</f>
        <v>45719</v>
      </c>
      <c r="G239" s="2">
        <v>45721</v>
      </c>
      <c r="H239" s="6">
        <f t="shared" si="6"/>
        <v>2</v>
      </c>
      <c r="I239" s="6">
        <f t="shared" si="7"/>
        <v>2</v>
      </c>
      <c r="J239" s="2" t="s">
        <v>31</v>
      </c>
    </row>
    <row r="240" spans="1:11" x14ac:dyDescent="0.25">
      <c r="A240" s="1">
        <v>39799</v>
      </c>
      <c r="B240" s="2" t="s">
        <v>36</v>
      </c>
      <c r="C240" t="s">
        <v>73</v>
      </c>
      <c r="D240" t="s">
        <v>209</v>
      </c>
      <c r="E240" s="2">
        <v>45719</v>
      </c>
      <c r="F240" s="2" cm="1">
        <f t="array" ref="F240">_xlfn.IFS(B240="Owner Surrender",E240,B240="Stray",E240+6,B240="Stray w/identification",E240+11,B240="Bite",E240+10,B240="Other",E240+30,B240="BAS",E240+56,B240="Seized",E240)</f>
        <v>45719</v>
      </c>
      <c r="G240" s="2">
        <v>45721</v>
      </c>
      <c r="H240" s="6">
        <f t="shared" si="6"/>
        <v>2</v>
      </c>
      <c r="I240" s="6">
        <f t="shared" si="7"/>
        <v>2</v>
      </c>
      <c r="J240" s="2" t="s">
        <v>31</v>
      </c>
    </row>
    <row r="241" spans="1:11" x14ac:dyDescent="0.25">
      <c r="A241" s="1">
        <v>39800</v>
      </c>
      <c r="B241" s="2" t="s">
        <v>36</v>
      </c>
      <c r="C241" t="s">
        <v>49</v>
      </c>
      <c r="D241" t="s">
        <v>208</v>
      </c>
      <c r="E241" s="2">
        <v>45720</v>
      </c>
      <c r="F241" s="2" cm="1">
        <f t="array" ref="F241">_xlfn.IFS(B241="Owner Surrender",E241,B241="Stray",E241+6,B241="Stray w/identification",E241+11,B241="Bite",E241+10,B241="Other",E241+30,B241="BAS",E241+56,B241="Seized",E241)</f>
        <v>45720</v>
      </c>
      <c r="G241" s="2">
        <v>45723</v>
      </c>
      <c r="H241" s="6">
        <f t="shared" si="6"/>
        <v>3</v>
      </c>
      <c r="I241" s="6">
        <f t="shared" si="7"/>
        <v>3</v>
      </c>
      <c r="J241" s="2" t="s">
        <v>31</v>
      </c>
    </row>
    <row r="242" spans="1:11" x14ac:dyDescent="0.25">
      <c r="A242" s="1">
        <v>39811</v>
      </c>
      <c r="B242" s="2" t="s">
        <v>36</v>
      </c>
      <c r="C242" t="s">
        <v>49</v>
      </c>
      <c r="D242" t="s">
        <v>208</v>
      </c>
      <c r="E242" s="2">
        <v>45721</v>
      </c>
      <c r="F242" s="2" cm="1">
        <f t="array" ref="F242">_xlfn.IFS(B242="Owner Surrender",E242,B242="Stray",E242+6,B242="Stray w/identification",E242+11,B242="Bite",E242+10,B242="Other",E242+30,B242="BAS",E242+56,B242="Seized",E242)</f>
        <v>45721</v>
      </c>
      <c r="G242" s="2">
        <v>45723</v>
      </c>
      <c r="H242" s="6">
        <f t="shared" si="6"/>
        <v>2</v>
      </c>
      <c r="I242" s="6">
        <f t="shared" si="7"/>
        <v>2</v>
      </c>
      <c r="J242" s="2" t="s">
        <v>31</v>
      </c>
    </row>
    <row r="243" spans="1:11" x14ac:dyDescent="0.25">
      <c r="A243" s="1">
        <v>39812</v>
      </c>
      <c r="B243" s="2" t="s">
        <v>36</v>
      </c>
      <c r="C243" t="s">
        <v>50</v>
      </c>
      <c r="D243" t="s">
        <v>208</v>
      </c>
      <c r="E243" s="2">
        <v>45722</v>
      </c>
      <c r="F243" s="2" cm="1">
        <f t="array" ref="F243">_xlfn.IFS(B243="Owner Surrender",E243,B243="Stray",E243+6,B243="Stray w/identification",E243+11,B243="Bite",E243+10,B243="Other",E243+30,B243="BAS",E243+56,B243="Seized",E243)</f>
        <v>45722</v>
      </c>
      <c r="G243" s="2">
        <v>45723</v>
      </c>
      <c r="H243" s="6">
        <f t="shared" si="6"/>
        <v>1</v>
      </c>
      <c r="I243" s="6">
        <f t="shared" si="7"/>
        <v>1</v>
      </c>
      <c r="J243" s="2" t="s">
        <v>31</v>
      </c>
    </row>
    <row r="244" spans="1:11" x14ac:dyDescent="0.25">
      <c r="A244" s="1">
        <v>39813</v>
      </c>
      <c r="B244" s="2" t="s">
        <v>38</v>
      </c>
      <c r="C244" t="s">
        <v>50</v>
      </c>
      <c r="D244" t="s">
        <v>208</v>
      </c>
      <c r="E244" s="2">
        <v>45721</v>
      </c>
      <c r="F244" s="2" cm="1">
        <f t="array" ref="F244">_xlfn.IFS(B244="Owner Surrender",E244,B244="Stray",E244+6,B244="Stray w/identification",E244+11,B244="Bite",E244+10,B244="Other",E244+30,B244="BAS",E244+56,B244="Seized",E244)</f>
        <v>45727</v>
      </c>
      <c r="G244" s="2">
        <v>45734</v>
      </c>
      <c r="H244" s="6">
        <f t="shared" si="6"/>
        <v>13</v>
      </c>
      <c r="I244" s="6">
        <f t="shared" si="7"/>
        <v>7</v>
      </c>
      <c r="J244" s="2" t="s">
        <v>31</v>
      </c>
    </row>
    <row r="245" spans="1:11" x14ac:dyDescent="0.25">
      <c r="A245" s="1">
        <v>39816</v>
      </c>
      <c r="B245" s="2" t="s">
        <v>36</v>
      </c>
      <c r="C245" t="s">
        <v>49</v>
      </c>
      <c r="D245" t="s">
        <v>209</v>
      </c>
      <c r="E245" s="2">
        <v>45722</v>
      </c>
      <c r="F245" s="2" cm="1">
        <f t="array" ref="F245">_xlfn.IFS(B245="Owner Surrender",E245,B245="Stray",E245+6,B245="Stray w/identification",E245+11,B245="Bite",E245+10,B245="Other",E245+30,B245="BAS",E245+56,B245="Seized",E245)</f>
        <v>45722</v>
      </c>
      <c r="G245" s="2">
        <v>45723</v>
      </c>
      <c r="H245" s="6">
        <f t="shared" si="6"/>
        <v>1</v>
      </c>
      <c r="I245" s="6">
        <f t="shared" si="7"/>
        <v>1</v>
      </c>
      <c r="J245" s="2" t="s">
        <v>31</v>
      </c>
    </row>
    <row r="246" spans="1:11" x14ac:dyDescent="0.25">
      <c r="A246" s="1">
        <v>39817</v>
      </c>
      <c r="B246" s="2" t="s">
        <v>36</v>
      </c>
      <c r="C246" t="s">
        <v>49</v>
      </c>
      <c r="D246" t="s">
        <v>209</v>
      </c>
      <c r="E246" s="2">
        <v>45722</v>
      </c>
      <c r="F246" s="2" cm="1">
        <f t="array" ref="F246">_xlfn.IFS(B246="Owner Surrender",E246,B246="Stray",E246+6,B246="Stray w/identification",E246+11,B246="Bite",E246+10,B246="Other",E246+30,B246="BAS",E246+56,B246="Seized",E246)</f>
        <v>45722</v>
      </c>
      <c r="G246" s="2">
        <v>45723</v>
      </c>
      <c r="H246" s="6">
        <f t="shared" si="6"/>
        <v>1</v>
      </c>
      <c r="I246" s="6">
        <f t="shared" si="7"/>
        <v>1</v>
      </c>
      <c r="J246" s="2" t="s">
        <v>31</v>
      </c>
    </row>
    <row r="247" spans="1:11" x14ac:dyDescent="0.25">
      <c r="A247" s="1">
        <v>39818</v>
      </c>
      <c r="B247" s="2" t="s">
        <v>36</v>
      </c>
      <c r="C247" t="s">
        <v>49</v>
      </c>
      <c r="D247" t="s">
        <v>209</v>
      </c>
      <c r="E247" s="2">
        <v>45722</v>
      </c>
      <c r="F247" s="2" cm="1">
        <f t="array" ref="F247">_xlfn.IFS(B247="Owner Surrender",E247,B247="Stray",E247+6,B247="Stray w/identification",E247+11,B247="Bite",E247+10,B247="Other",E247+30,B247="BAS",E247+56,B247="Seized",E247)</f>
        <v>45722</v>
      </c>
      <c r="G247" s="2">
        <v>45747</v>
      </c>
      <c r="H247" s="6">
        <f t="shared" si="6"/>
        <v>25</v>
      </c>
      <c r="I247" s="6">
        <f t="shared" si="7"/>
        <v>25</v>
      </c>
      <c r="J247" s="2" t="s">
        <v>11</v>
      </c>
      <c r="K247" t="s">
        <v>513</v>
      </c>
    </row>
    <row r="248" spans="1:11" x14ac:dyDescent="0.25">
      <c r="A248" s="1">
        <v>39819</v>
      </c>
      <c r="B248" s="2" t="s">
        <v>36</v>
      </c>
      <c r="C248" t="s">
        <v>49</v>
      </c>
      <c r="D248" t="s">
        <v>209</v>
      </c>
      <c r="E248" s="2">
        <v>45722</v>
      </c>
      <c r="F248" s="2" cm="1">
        <f t="array" ref="F248">_xlfn.IFS(B248="Owner Surrender",E248,B248="Stray",E248+6,B248="Stray w/identification",E248+11,B248="Bite",E248+10,B248="Other",E248+30,B248="BAS",E248+56,B248="Seized",E248)</f>
        <v>45722</v>
      </c>
      <c r="G248" s="2">
        <v>45723</v>
      </c>
      <c r="H248" s="6">
        <f t="shared" si="6"/>
        <v>1</v>
      </c>
      <c r="I248" s="6">
        <f t="shared" si="7"/>
        <v>1</v>
      </c>
      <c r="J248" s="2" t="s">
        <v>31</v>
      </c>
    </row>
    <row r="249" spans="1:11" x14ac:dyDescent="0.25">
      <c r="A249" s="1">
        <v>39820</v>
      </c>
      <c r="B249" s="2" t="s">
        <v>36</v>
      </c>
      <c r="C249" t="s">
        <v>49</v>
      </c>
      <c r="D249" t="s">
        <v>209</v>
      </c>
      <c r="E249" s="2">
        <v>45722</v>
      </c>
      <c r="F249" s="2" cm="1">
        <f t="array" ref="F249">_xlfn.IFS(B249="Owner Surrender",E249,B249="Stray",E249+6,B249="Stray w/identification",E249+11,B249="Bite",E249+10,B249="Other",E249+30,B249="BAS",E249+56,B249="Seized",E249)</f>
        <v>45722</v>
      </c>
      <c r="G249" s="2">
        <v>45723</v>
      </c>
      <c r="H249" s="6">
        <f t="shared" si="6"/>
        <v>1</v>
      </c>
      <c r="I249" s="6">
        <f t="shared" si="7"/>
        <v>1</v>
      </c>
      <c r="J249" s="2" t="s">
        <v>31</v>
      </c>
    </row>
    <row r="250" spans="1:11" x14ac:dyDescent="0.25">
      <c r="A250" s="1">
        <v>39821</v>
      </c>
      <c r="B250" s="2" t="s">
        <v>36</v>
      </c>
      <c r="C250" t="s">
        <v>49</v>
      </c>
      <c r="D250" t="s">
        <v>209</v>
      </c>
      <c r="E250" s="2">
        <v>45722</v>
      </c>
      <c r="F250" s="2" cm="1">
        <f t="array" ref="F250">_xlfn.IFS(B250="Owner Surrender",E250,B250="Stray",E250+6,B250="Stray w/identification",E250+11,B250="Bite",E250+10,B250="Other",E250+30,B250="BAS",E250+56,B250="Seized",E250)</f>
        <v>45722</v>
      </c>
      <c r="G250" s="2">
        <v>45723</v>
      </c>
      <c r="H250" s="6">
        <f t="shared" si="6"/>
        <v>1</v>
      </c>
      <c r="I250" s="6">
        <f t="shared" si="7"/>
        <v>1</v>
      </c>
      <c r="J250" s="2" t="s">
        <v>31</v>
      </c>
    </row>
    <row r="251" spans="1:11" x14ac:dyDescent="0.25">
      <c r="A251" s="1">
        <v>39822</v>
      </c>
      <c r="B251" s="2" t="s">
        <v>36</v>
      </c>
      <c r="C251" t="s">
        <v>49</v>
      </c>
      <c r="D251" t="s">
        <v>209</v>
      </c>
      <c r="E251" s="2">
        <v>45722</v>
      </c>
      <c r="F251" s="2" cm="1">
        <f t="array" ref="F251">_xlfn.IFS(B251="Owner Surrender",E251,B251="Stray",E251+6,B251="Stray w/identification",E251+11,B251="Bite",E251+10,B251="Other",E251+30,B251="BAS",E251+56,B251="Seized",E251)</f>
        <v>45722</v>
      </c>
      <c r="G251" s="2">
        <v>45734</v>
      </c>
      <c r="H251" s="6">
        <f t="shared" si="6"/>
        <v>12</v>
      </c>
      <c r="I251" s="6">
        <f t="shared" si="7"/>
        <v>12</v>
      </c>
      <c r="J251" s="2" t="s">
        <v>11</v>
      </c>
      <c r="K251" t="s">
        <v>226</v>
      </c>
    </row>
    <row r="252" spans="1:11" x14ac:dyDescent="0.25">
      <c r="A252" s="1">
        <v>39823</v>
      </c>
      <c r="B252" s="2" t="s">
        <v>38</v>
      </c>
      <c r="C252" t="s">
        <v>109</v>
      </c>
      <c r="D252" t="s">
        <v>208</v>
      </c>
      <c r="E252" s="2">
        <v>45722</v>
      </c>
      <c r="F252" s="2" cm="1">
        <f t="array" ref="F252">_xlfn.IFS(B252="Owner Surrender",E252,B252="Stray",E252+6,B252="Stray w/identification",E252+11,B252="Bite",E252+10,B252="Other",E252+30,B252="BAS",E252+56,B252="Seized",E252)</f>
        <v>45728</v>
      </c>
      <c r="G252" s="2">
        <v>45784</v>
      </c>
      <c r="H252" s="6">
        <f t="shared" si="6"/>
        <v>62</v>
      </c>
      <c r="I252" s="6">
        <f t="shared" si="7"/>
        <v>56</v>
      </c>
      <c r="J252" s="2" t="s">
        <v>31</v>
      </c>
    </row>
    <row r="253" spans="1:11" x14ac:dyDescent="0.25">
      <c r="A253" s="1">
        <v>39825</v>
      </c>
      <c r="B253" s="2" t="s">
        <v>36</v>
      </c>
      <c r="C253" t="s">
        <v>49</v>
      </c>
      <c r="D253" t="s">
        <v>209</v>
      </c>
      <c r="E253" s="2">
        <v>45722</v>
      </c>
      <c r="F253" s="2" cm="1">
        <f t="array" ref="F253">_xlfn.IFS(B253="Owner Surrender",E253,B253="Stray",E253+6,B253="Stray w/identification",E253+11,B253="Bite",E253+10,B253="Other",E253+30,B253="BAS",E253+56,B253="Seized",E253)</f>
        <v>45722</v>
      </c>
      <c r="G253" s="2">
        <v>45729</v>
      </c>
      <c r="H253" s="6">
        <f t="shared" si="6"/>
        <v>7</v>
      </c>
      <c r="I253" s="6">
        <f t="shared" si="7"/>
        <v>7</v>
      </c>
      <c r="J253" s="2" t="s">
        <v>31</v>
      </c>
    </row>
    <row r="254" spans="1:11" x14ac:dyDescent="0.25">
      <c r="A254" s="1">
        <v>39826</v>
      </c>
      <c r="B254" s="2" t="s">
        <v>36</v>
      </c>
      <c r="C254" t="s">
        <v>49</v>
      </c>
      <c r="D254" t="s">
        <v>209</v>
      </c>
      <c r="E254" s="2">
        <v>45722</v>
      </c>
      <c r="F254" s="2" cm="1">
        <f t="array" ref="F254">_xlfn.IFS(B254="Owner Surrender",E254,B254="Stray",E254+6,B254="Stray w/identification",E254+11,B254="Bite",E254+10,B254="Other",E254+30,B254="BAS",E254+56,B254="Seized",E254)</f>
        <v>45722</v>
      </c>
      <c r="G254" s="2">
        <v>45729</v>
      </c>
      <c r="H254" s="6">
        <f t="shared" si="6"/>
        <v>7</v>
      </c>
      <c r="I254" s="6">
        <f t="shared" si="7"/>
        <v>7</v>
      </c>
      <c r="J254" s="2" t="s">
        <v>31</v>
      </c>
    </row>
    <row r="255" spans="1:11" x14ac:dyDescent="0.25">
      <c r="A255" s="1">
        <v>39827</v>
      </c>
      <c r="B255" s="2" t="s">
        <v>36</v>
      </c>
      <c r="C255" t="s">
        <v>49</v>
      </c>
      <c r="D255" t="s">
        <v>209</v>
      </c>
      <c r="E255" s="2">
        <v>45722</v>
      </c>
      <c r="F255" s="2" cm="1">
        <f t="array" ref="F255">_xlfn.IFS(B255="Owner Surrender",E255,B255="Stray",E255+6,B255="Stray w/identification",E255+11,B255="Bite",E255+10,B255="Other",E255+30,B255="BAS",E255+56,B255="Seized",E255)</f>
        <v>45722</v>
      </c>
      <c r="G255" s="2">
        <v>45723</v>
      </c>
      <c r="H255" s="6">
        <f t="shared" si="6"/>
        <v>1</v>
      </c>
      <c r="I255" s="6">
        <f t="shared" si="7"/>
        <v>1</v>
      </c>
      <c r="J255" s="2" t="s">
        <v>31</v>
      </c>
    </row>
    <row r="256" spans="1:11" x14ac:dyDescent="0.25">
      <c r="A256" s="1">
        <v>39828</v>
      </c>
      <c r="B256" s="2" t="s">
        <v>36</v>
      </c>
      <c r="C256" t="s">
        <v>49</v>
      </c>
      <c r="D256" t="s">
        <v>209</v>
      </c>
      <c r="E256" s="2">
        <v>45722</v>
      </c>
      <c r="F256" s="2" cm="1">
        <f t="array" ref="F256">_xlfn.IFS(B256="Owner Surrender",E256,B256="Stray",E256+6,B256="Stray w/identification",E256+11,B256="Bite",E256+10,B256="Other",E256+30,B256="BAS",E256+56,B256="Seized",E256)</f>
        <v>45722</v>
      </c>
      <c r="G256" s="2">
        <v>45723</v>
      </c>
      <c r="H256" s="6">
        <f t="shared" si="6"/>
        <v>1</v>
      </c>
      <c r="I256" s="6">
        <f t="shared" si="7"/>
        <v>1</v>
      </c>
      <c r="J256" s="2" t="s">
        <v>31</v>
      </c>
    </row>
    <row r="257" spans="1:11" x14ac:dyDescent="0.25">
      <c r="A257" s="1">
        <v>39829</v>
      </c>
      <c r="B257" s="2" t="s">
        <v>36</v>
      </c>
      <c r="C257" t="s">
        <v>50</v>
      </c>
      <c r="D257" t="s">
        <v>208</v>
      </c>
      <c r="E257" s="2">
        <v>45722</v>
      </c>
      <c r="F257" s="2" cm="1">
        <f t="array" ref="F257">_xlfn.IFS(B257="Owner Surrender",E257,B257="Stray",E257+6,B257="Stray w/identification",E257+11,B257="Bite",E257+10,B257="Other",E257+30,B257="BAS",E257+56,B257="Seized",E257)</f>
        <v>45722</v>
      </c>
      <c r="G257" s="2">
        <v>45727</v>
      </c>
      <c r="H257" s="6">
        <f t="shared" si="6"/>
        <v>5</v>
      </c>
      <c r="I257" s="6">
        <f t="shared" si="7"/>
        <v>5</v>
      </c>
      <c r="J257" s="2" t="s">
        <v>31</v>
      </c>
    </row>
    <row r="258" spans="1:11" x14ac:dyDescent="0.25">
      <c r="A258" s="1">
        <v>39830</v>
      </c>
      <c r="B258" s="2" t="s">
        <v>36</v>
      </c>
      <c r="C258" t="s">
        <v>70</v>
      </c>
      <c r="D258" t="s">
        <v>208</v>
      </c>
      <c r="E258" s="2">
        <v>45722</v>
      </c>
      <c r="F258" s="2" cm="1">
        <f t="array" ref="F258">_xlfn.IFS(B258="Owner Surrender",E258,B258="Stray",E258+6,B258="Stray w/identification",E258+11,B258="Bite",E258+10,B258="Other",E258+30,B258="BAS",E258+56,B258="Seized",E258)</f>
        <v>45722</v>
      </c>
      <c r="G258" s="2">
        <v>45733</v>
      </c>
      <c r="H258" s="6">
        <f t="shared" si="6"/>
        <v>11</v>
      </c>
      <c r="I258" s="6">
        <f t="shared" si="7"/>
        <v>11</v>
      </c>
      <c r="J258" s="2" t="s">
        <v>11</v>
      </c>
      <c r="K258" t="s">
        <v>154</v>
      </c>
    </row>
    <row r="259" spans="1:11" x14ac:dyDescent="0.25">
      <c r="A259" s="1">
        <v>39835</v>
      </c>
      <c r="B259" s="2" t="s">
        <v>180</v>
      </c>
      <c r="C259" t="s">
        <v>476</v>
      </c>
      <c r="D259" t="s">
        <v>208</v>
      </c>
      <c r="E259" s="2">
        <v>45722</v>
      </c>
      <c r="F259" s="2" cm="1">
        <f t="array" ref="F259">_xlfn.IFS(B259="Owner Surrender",E259,B259="Stray",E259+6,B259="Stray w/identification",E259+11,B259="Bite",E259+10,B259="Other",E259+30,B259="BAS",E259+56,B259="Seized",E259)</f>
        <v>45733</v>
      </c>
      <c r="G259" s="2">
        <v>45723</v>
      </c>
      <c r="H259" s="6">
        <f t="shared" ref="H259:H322" si="8">+G259-E259</f>
        <v>1</v>
      </c>
      <c r="I259" s="6">
        <f t="shared" ref="I259:I322" si="9">G259-F259</f>
        <v>-10</v>
      </c>
      <c r="J259" s="2" t="s">
        <v>8</v>
      </c>
    </row>
    <row r="260" spans="1:11" x14ac:dyDescent="0.25">
      <c r="A260" s="1">
        <v>39836</v>
      </c>
      <c r="B260" s="2" t="s">
        <v>38</v>
      </c>
      <c r="C260" t="s">
        <v>52</v>
      </c>
      <c r="D260" t="s">
        <v>208</v>
      </c>
      <c r="E260" s="2">
        <v>45722</v>
      </c>
      <c r="F260" s="2" cm="1">
        <f t="array" ref="F260">_xlfn.IFS(B260="Owner Surrender",E260,B260="Stray",E260+6,B260="Stray w/identification",E260+11,B260="Bite",E260+10,B260="Other",E260+30,B260="BAS",E260+56,B260="Seized",E260)</f>
        <v>45728</v>
      </c>
      <c r="G260" s="2">
        <v>45724</v>
      </c>
      <c r="H260" s="6">
        <f t="shared" si="8"/>
        <v>2</v>
      </c>
      <c r="I260" s="6">
        <f t="shared" si="9"/>
        <v>-4</v>
      </c>
      <c r="J260" s="2" t="s">
        <v>8</v>
      </c>
    </row>
    <row r="261" spans="1:11" x14ac:dyDescent="0.25">
      <c r="A261" s="1">
        <v>39838</v>
      </c>
      <c r="B261" s="2" t="s">
        <v>38</v>
      </c>
      <c r="C261" t="s">
        <v>49</v>
      </c>
      <c r="D261" t="s">
        <v>208</v>
      </c>
      <c r="E261" s="2">
        <v>45723</v>
      </c>
      <c r="F261" s="2" cm="1">
        <f t="array" ref="F261">_xlfn.IFS(B261="Owner Surrender",E261,B261="Stray",E261+6,B261="Stray w/identification",E261+11,B261="Bite",E261+10,B261="Other",E261+30,B261="BAS",E261+56,B261="Seized",E261)</f>
        <v>45729</v>
      </c>
      <c r="G261" s="2">
        <v>45730</v>
      </c>
      <c r="H261" s="6">
        <f t="shared" si="8"/>
        <v>7</v>
      </c>
      <c r="I261" s="6">
        <f t="shared" si="9"/>
        <v>1</v>
      </c>
      <c r="J261" s="2" t="s">
        <v>31</v>
      </c>
    </row>
    <row r="262" spans="1:11" x14ac:dyDescent="0.25">
      <c r="A262" s="1">
        <v>39839</v>
      </c>
      <c r="B262" s="2" t="s">
        <v>36</v>
      </c>
      <c r="C262" t="s">
        <v>50</v>
      </c>
      <c r="D262" t="s">
        <v>209</v>
      </c>
      <c r="E262" s="2">
        <v>45723</v>
      </c>
      <c r="F262" s="2" cm="1">
        <f t="array" ref="F262">_xlfn.IFS(B262="Owner Surrender",E262,B262="Stray",E262+6,B262="Stray w/identification",E262+11,B262="Bite",E262+10,B262="Other",E262+30,B262="BAS",E262+56,B262="Seized",E262)</f>
        <v>45723</v>
      </c>
      <c r="G262" s="2">
        <v>45728</v>
      </c>
      <c r="H262" s="6">
        <f t="shared" si="8"/>
        <v>5</v>
      </c>
      <c r="I262" s="6">
        <f t="shared" si="9"/>
        <v>5</v>
      </c>
      <c r="J262" s="2" t="s">
        <v>11</v>
      </c>
    </row>
    <row r="263" spans="1:11" x14ac:dyDescent="0.25">
      <c r="A263" s="1">
        <v>39841</v>
      </c>
      <c r="B263" s="2" t="s">
        <v>36</v>
      </c>
      <c r="C263" t="s">
        <v>517</v>
      </c>
      <c r="D263" t="s">
        <v>208</v>
      </c>
      <c r="E263" s="2">
        <v>45723</v>
      </c>
      <c r="F263" s="2" cm="1">
        <f t="array" ref="F263">_xlfn.IFS(B263="Owner Surrender",E263,B263="Stray",E263+6,B263="Stray w/identification",E263+11,B263="Bite",E263+10,B263="Other",E263+30,B263="BAS",E263+56,B263="Seized",E263)</f>
        <v>45723</v>
      </c>
      <c r="G263" s="2">
        <v>45729</v>
      </c>
      <c r="H263" s="6">
        <f t="shared" si="8"/>
        <v>6</v>
      </c>
      <c r="I263" s="6">
        <f t="shared" si="9"/>
        <v>6</v>
      </c>
      <c r="J263" s="2" t="s">
        <v>31</v>
      </c>
    </row>
    <row r="264" spans="1:11" x14ac:dyDescent="0.25">
      <c r="A264" s="1">
        <v>39842</v>
      </c>
      <c r="B264" s="2" t="s">
        <v>38</v>
      </c>
      <c r="C264" t="s">
        <v>49</v>
      </c>
      <c r="D264" t="s">
        <v>208</v>
      </c>
      <c r="E264" s="2">
        <v>45723</v>
      </c>
      <c r="F264" s="2" cm="1">
        <f t="array" ref="F264">_xlfn.IFS(B264="Owner Surrender",E264,B264="Stray",E264+6,B264="Stray w/identification",E264+11,B264="Bite",E264+10,B264="Other",E264+30,B264="BAS",E264+56,B264="Seized",E264)</f>
        <v>45729</v>
      </c>
      <c r="G264" s="2">
        <v>45739</v>
      </c>
      <c r="H264" s="6">
        <f t="shared" si="8"/>
        <v>16</v>
      </c>
      <c r="I264" s="6">
        <f t="shared" si="9"/>
        <v>10</v>
      </c>
      <c r="J264" s="2" t="s">
        <v>31</v>
      </c>
    </row>
    <row r="265" spans="1:11" x14ac:dyDescent="0.25">
      <c r="A265" s="1">
        <v>39843</v>
      </c>
      <c r="B265" s="2" t="s">
        <v>180</v>
      </c>
      <c r="C265" t="s">
        <v>49</v>
      </c>
      <c r="D265" t="s">
        <v>208</v>
      </c>
      <c r="E265" s="2">
        <v>45723</v>
      </c>
      <c r="F265" s="2" cm="1">
        <f t="array" ref="F265">_xlfn.IFS(B265="Owner Surrender",E265,B265="Stray",E265+6,B265="Stray w/identification",E265+11,B265="Bite",E265+10,B265="Other",E265+30,B265="BAS",E265+56,B265="Seized",E265)</f>
        <v>45734</v>
      </c>
      <c r="G265" s="2">
        <v>45739</v>
      </c>
      <c r="H265" s="6">
        <f t="shared" si="8"/>
        <v>16</v>
      </c>
      <c r="I265" s="6">
        <f t="shared" si="9"/>
        <v>5</v>
      </c>
      <c r="J265" s="2" t="s">
        <v>31</v>
      </c>
      <c r="K265" t="s">
        <v>516</v>
      </c>
    </row>
    <row r="266" spans="1:11" x14ac:dyDescent="0.25">
      <c r="A266" s="1">
        <v>39844</v>
      </c>
      <c r="B266" s="2" t="s">
        <v>36</v>
      </c>
      <c r="C266" t="s">
        <v>49</v>
      </c>
      <c r="D266" t="s">
        <v>208</v>
      </c>
      <c r="E266" s="2">
        <v>45723</v>
      </c>
      <c r="F266" s="2" cm="1">
        <f t="array" ref="F266">_xlfn.IFS(B266="Owner Surrender",E266,B266="Stray",E266+6,B266="Stray w/identification",E266+11,B266="Bite",E266+10,B266="Other",E266+30,B266="BAS",E266+56,B266="Seized",E266)</f>
        <v>45723</v>
      </c>
      <c r="G266" s="2">
        <v>45727</v>
      </c>
      <c r="H266" s="6">
        <f t="shared" si="8"/>
        <v>4</v>
      </c>
      <c r="I266" s="6">
        <f t="shared" si="9"/>
        <v>4</v>
      </c>
      <c r="J266" s="2" t="s">
        <v>31</v>
      </c>
    </row>
    <row r="267" spans="1:11" x14ac:dyDescent="0.25">
      <c r="A267" s="1">
        <v>39845</v>
      </c>
      <c r="B267" s="2" t="s">
        <v>38</v>
      </c>
      <c r="C267" t="s">
        <v>424</v>
      </c>
      <c r="D267" t="s">
        <v>208</v>
      </c>
      <c r="E267" s="2">
        <v>45724</v>
      </c>
      <c r="F267" s="2" cm="1">
        <f t="array" ref="F267">_xlfn.IFS(B267="Owner Surrender",E267,B267="Stray",E267+6,B267="Stray w/identification",E267+11,B267="Bite",E267+10,B267="Other",E267+30,B267="BAS",E267+56,B267="Seized",E267)</f>
        <v>45730</v>
      </c>
      <c r="G267" s="2">
        <v>45742</v>
      </c>
      <c r="H267" s="6">
        <f t="shared" si="8"/>
        <v>18</v>
      </c>
      <c r="I267" s="6">
        <f t="shared" si="9"/>
        <v>12</v>
      </c>
      <c r="J267" s="2" t="s">
        <v>31</v>
      </c>
    </row>
    <row r="268" spans="1:11" x14ac:dyDescent="0.25">
      <c r="A268" s="1">
        <v>39846</v>
      </c>
      <c r="B268" s="2" t="s">
        <v>38</v>
      </c>
      <c r="C268" t="s">
        <v>50</v>
      </c>
      <c r="D268" t="s">
        <v>208</v>
      </c>
      <c r="E268" s="2">
        <v>45726</v>
      </c>
      <c r="F268" s="2" cm="1">
        <f t="array" ref="F268">_xlfn.IFS(B268="Owner Surrender",E268,B268="Stray",E268+6,B268="Stray w/identification",E268+11,B268="Bite",E268+10,B268="Other",E268+30,B268="BAS",E268+56,B268="Seized",E268)</f>
        <v>45732</v>
      </c>
      <c r="G268" s="2">
        <v>45726</v>
      </c>
      <c r="H268" s="6">
        <f t="shared" si="8"/>
        <v>0</v>
      </c>
      <c r="I268" s="6">
        <f t="shared" si="9"/>
        <v>-6</v>
      </c>
      <c r="J268" s="2" t="s">
        <v>8</v>
      </c>
    </row>
    <row r="269" spans="1:11" x14ac:dyDescent="0.25">
      <c r="A269" s="1">
        <v>39847</v>
      </c>
      <c r="B269" s="2" t="s">
        <v>180</v>
      </c>
      <c r="C269" t="s">
        <v>510</v>
      </c>
      <c r="D269" t="s">
        <v>208</v>
      </c>
      <c r="E269" s="2">
        <v>45725</v>
      </c>
      <c r="F269" s="2" cm="1">
        <f t="array" ref="F269">_xlfn.IFS(B269="Owner Surrender",E269,B269="Stray",E269+6,B269="Stray w/identification",E269+11,B269="Bite",E269+10,B269="Other",E269+30,B269="BAS",E269+56,B269="Seized",E269)</f>
        <v>45736</v>
      </c>
      <c r="G269" s="2">
        <v>45726</v>
      </c>
      <c r="H269" s="6">
        <f t="shared" si="8"/>
        <v>1</v>
      </c>
      <c r="I269" s="6">
        <f t="shared" si="9"/>
        <v>-10</v>
      </c>
      <c r="J269" s="2" t="s">
        <v>8</v>
      </c>
    </row>
    <row r="270" spans="1:11" x14ac:dyDescent="0.25">
      <c r="A270" s="1">
        <v>39848</v>
      </c>
      <c r="B270" s="2" t="s">
        <v>180</v>
      </c>
      <c r="C270" t="s">
        <v>499</v>
      </c>
      <c r="D270" t="s">
        <v>208</v>
      </c>
      <c r="E270" s="2">
        <v>45724</v>
      </c>
      <c r="F270" s="2" cm="1">
        <f t="array" ref="F270">_xlfn.IFS(B270="Owner Surrender",E270,B270="Stray",E270+6,B270="Stray w/identification",E270+11,B270="Bite",E270+10,B270="Other",E270+30,B270="BAS",E270+56,B270="Seized",E270)</f>
        <v>45735</v>
      </c>
      <c r="G270" s="2">
        <v>45742</v>
      </c>
      <c r="H270" s="6">
        <f t="shared" si="8"/>
        <v>18</v>
      </c>
      <c r="I270" s="6">
        <f t="shared" si="9"/>
        <v>7</v>
      </c>
      <c r="J270" s="2" t="s">
        <v>18</v>
      </c>
      <c r="K270" t="s">
        <v>500</v>
      </c>
    </row>
    <row r="271" spans="1:11" x14ac:dyDescent="0.25">
      <c r="A271" s="1">
        <v>39854</v>
      </c>
      <c r="B271" s="2" t="s">
        <v>53</v>
      </c>
      <c r="C271" t="s">
        <v>79</v>
      </c>
      <c r="D271" t="s">
        <v>209</v>
      </c>
      <c r="E271" s="2">
        <v>45727</v>
      </c>
      <c r="F271" s="2" cm="1">
        <f t="array" ref="F271">_xlfn.IFS(B271="Owner Surrender",E271,B271="Stray",E271+6,B271="Stray w/identification",E271+11,B271="Bite",E271+10,B271="Other",E271+30,B271="BAS",E271+56,B271="Seized",E271)</f>
        <v>45727</v>
      </c>
      <c r="G271" s="2">
        <v>45772</v>
      </c>
      <c r="H271" s="6">
        <f t="shared" si="8"/>
        <v>45</v>
      </c>
      <c r="I271" s="6">
        <f t="shared" si="9"/>
        <v>45</v>
      </c>
      <c r="J271" s="2" t="s">
        <v>31</v>
      </c>
    </row>
    <row r="272" spans="1:11" x14ac:dyDescent="0.25">
      <c r="A272" s="1">
        <v>39855</v>
      </c>
      <c r="B272" s="2" t="s">
        <v>53</v>
      </c>
      <c r="C272" t="s">
        <v>79</v>
      </c>
      <c r="D272" t="s">
        <v>209</v>
      </c>
      <c r="E272" s="2">
        <v>45727</v>
      </c>
      <c r="F272" s="2" cm="1">
        <f t="array" ref="F272">_xlfn.IFS(B272="Owner Surrender",E272,B272="Stray",E272+6,B272="Stray w/identification",E272+11,B272="Bite",E272+10,B272="Other",E272+30,B272="BAS",E272+56,B272="Seized",E272)</f>
        <v>45727</v>
      </c>
      <c r="G272" s="2">
        <v>45772</v>
      </c>
      <c r="H272" s="6">
        <f t="shared" si="8"/>
        <v>45</v>
      </c>
      <c r="I272" s="6">
        <f t="shared" si="9"/>
        <v>45</v>
      </c>
      <c r="J272" s="2" t="s">
        <v>31</v>
      </c>
      <c r="K272" t="s">
        <v>541</v>
      </c>
    </row>
    <row r="273" spans="1:10" x14ac:dyDescent="0.25">
      <c r="A273" s="1">
        <v>39859</v>
      </c>
      <c r="B273" s="2" t="s">
        <v>36</v>
      </c>
      <c r="C273" t="s">
        <v>50</v>
      </c>
      <c r="D273" t="s">
        <v>208</v>
      </c>
      <c r="E273" s="2">
        <v>45727</v>
      </c>
      <c r="F273" s="2" cm="1">
        <f t="array" ref="F273">_xlfn.IFS(B273="Owner Surrender",E273,B273="Stray",E273+6,B273="Stray w/identification",E273+11,B273="Bite",E273+10,B273="Other",E273+30,B273="BAS",E273+56,B273="Seized",E273)</f>
        <v>45727</v>
      </c>
      <c r="G273" s="2">
        <v>45729</v>
      </c>
      <c r="H273" s="6">
        <f t="shared" si="8"/>
        <v>2</v>
      </c>
      <c r="I273" s="6">
        <f t="shared" si="9"/>
        <v>2</v>
      </c>
      <c r="J273" s="2" t="s">
        <v>31</v>
      </c>
    </row>
    <row r="274" spans="1:10" x14ac:dyDescent="0.25">
      <c r="A274" s="1">
        <v>39865</v>
      </c>
      <c r="B274" s="2" t="s">
        <v>38</v>
      </c>
      <c r="C274" t="s">
        <v>168</v>
      </c>
      <c r="D274" t="s">
        <v>208</v>
      </c>
      <c r="E274" s="2">
        <v>45728</v>
      </c>
      <c r="F274" s="2" cm="1">
        <f t="array" ref="F274">_xlfn.IFS(B274="Owner Surrender",E274,B274="Stray",E274+6,B274="Stray w/identification",E274+11,B274="Bite",E274+10,B274="Other",E274+30,B274="BAS",E274+56,B274="Seized",E274)</f>
        <v>45734</v>
      </c>
      <c r="G274" s="2">
        <v>45748</v>
      </c>
      <c r="H274" s="6">
        <f t="shared" si="8"/>
        <v>20</v>
      </c>
      <c r="I274" s="6">
        <f t="shared" si="9"/>
        <v>14</v>
      </c>
      <c r="J274" s="2" t="s">
        <v>31</v>
      </c>
    </row>
    <row r="275" spans="1:10" x14ac:dyDescent="0.25">
      <c r="A275" s="1">
        <v>39866</v>
      </c>
      <c r="B275" s="2" t="s">
        <v>36</v>
      </c>
      <c r="C275" t="s">
        <v>83</v>
      </c>
      <c r="D275" t="s">
        <v>210</v>
      </c>
      <c r="E275" s="2">
        <v>45728</v>
      </c>
      <c r="F275" s="2" cm="1">
        <f t="array" ref="F275">_xlfn.IFS(B275="Owner Surrender",E275,B275="Stray",E275+6,B275="Stray w/identification",E275+11,B275="Bite",E275+10,B275="Other",E275+30,B275="BAS",E275+56,B275="Seized",E275)</f>
        <v>45728</v>
      </c>
      <c r="G275" s="2">
        <v>45734</v>
      </c>
      <c r="H275" s="6">
        <f t="shared" si="8"/>
        <v>6</v>
      </c>
      <c r="I275" s="6">
        <f t="shared" si="9"/>
        <v>6</v>
      </c>
      <c r="J275" s="2" t="s">
        <v>11</v>
      </c>
    </row>
    <row r="276" spans="1:10" x14ac:dyDescent="0.25">
      <c r="A276" s="1">
        <v>39868</v>
      </c>
      <c r="B276" s="2" t="s">
        <v>36</v>
      </c>
      <c r="C276" t="s">
        <v>57</v>
      </c>
      <c r="D276" t="s">
        <v>210</v>
      </c>
      <c r="E276" s="2">
        <v>45728</v>
      </c>
      <c r="F276" s="2" cm="1">
        <f t="array" ref="F276">_xlfn.IFS(B276="Owner Surrender",E276,B276="Stray",E276+6,B276="Stray w/identification",E276+11,B276="Bite",E276+10,B276="Other",E276+30,B276="BAS",E276+56,B276="Seized",E276)</f>
        <v>45728</v>
      </c>
      <c r="G276" s="2">
        <v>45730</v>
      </c>
      <c r="H276" s="6">
        <f t="shared" si="8"/>
        <v>2</v>
      </c>
      <c r="I276" s="6">
        <f t="shared" si="9"/>
        <v>2</v>
      </c>
      <c r="J276" s="2" t="s">
        <v>31</v>
      </c>
    </row>
    <row r="277" spans="1:10" x14ac:dyDescent="0.25">
      <c r="A277" s="1">
        <v>39869</v>
      </c>
      <c r="B277" s="2" t="s">
        <v>36</v>
      </c>
      <c r="C277" t="s">
        <v>57</v>
      </c>
      <c r="D277" t="s">
        <v>210</v>
      </c>
      <c r="E277" s="2">
        <v>45728</v>
      </c>
      <c r="F277" s="2" cm="1">
        <f t="array" ref="F277">_xlfn.IFS(B277="Owner Surrender",E277,B277="Stray",E277+6,B277="Stray w/identification",E277+11,B277="Bite",E277+10,B277="Other",E277+30,B277="BAS",E277+56,B277="Seized",E277)</f>
        <v>45728</v>
      </c>
      <c r="G277" s="2">
        <v>45730</v>
      </c>
      <c r="H277" s="6">
        <f t="shared" si="8"/>
        <v>2</v>
      </c>
      <c r="I277" s="6">
        <f t="shared" si="9"/>
        <v>2</v>
      </c>
      <c r="J277" s="2" t="s">
        <v>31</v>
      </c>
    </row>
    <row r="278" spans="1:10" x14ac:dyDescent="0.25">
      <c r="A278" s="1">
        <v>39870</v>
      </c>
      <c r="B278" s="2" t="s">
        <v>36</v>
      </c>
      <c r="C278" t="s">
        <v>49</v>
      </c>
      <c r="D278" t="s">
        <v>208</v>
      </c>
      <c r="E278" s="2">
        <v>45728</v>
      </c>
      <c r="F278" s="2" cm="1">
        <f t="array" ref="F278">_xlfn.IFS(B278="Owner Surrender",E278,B278="Stray",E278+6,B278="Stray w/identification",E278+11,B278="Bite",E278+10,B278="Other",E278+30,B278="BAS",E278+56,B278="Seized",E278)</f>
        <v>45728</v>
      </c>
      <c r="G278" s="2">
        <v>45739</v>
      </c>
      <c r="H278" s="6">
        <f t="shared" si="8"/>
        <v>11</v>
      </c>
      <c r="I278" s="6">
        <f t="shared" si="9"/>
        <v>11</v>
      </c>
      <c r="J278" s="2" t="s">
        <v>31</v>
      </c>
    </row>
    <row r="279" spans="1:10" x14ac:dyDescent="0.25">
      <c r="A279" s="1">
        <v>39872</v>
      </c>
      <c r="B279" s="2" t="s">
        <v>38</v>
      </c>
      <c r="C279" t="s">
        <v>83</v>
      </c>
      <c r="D279" t="s">
        <v>208</v>
      </c>
      <c r="E279" s="2">
        <v>45729</v>
      </c>
      <c r="F279" s="2" cm="1">
        <f t="array" ref="F279">_xlfn.IFS(B279="Owner Surrender",E279,B279="Stray",E279+6,B279="Stray w/identification",E279+11,B279="Bite",E279+10,B279="Other",E279+30,B279="BAS",E279+56,B279="Seized",E279)</f>
        <v>45735</v>
      </c>
      <c r="G279" s="2">
        <v>45737</v>
      </c>
      <c r="H279" s="6">
        <f t="shared" si="8"/>
        <v>8</v>
      </c>
      <c r="I279" s="6">
        <f t="shared" si="9"/>
        <v>2</v>
      </c>
      <c r="J279" s="2" t="s">
        <v>11</v>
      </c>
    </row>
    <row r="280" spans="1:10" x14ac:dyDescent="0.25">
      <c r="A280" s="1">
        <v>39873</v>
      </c>
      <c r="B280" s="2" t="s">
        <v>38</v>
      </c>
      <c r="C280" t="s">
        <v>83</v>
      </c>
      <c r="D280" t="s">
        <v>208</v>
      </c>
      <c r="E280" s="2">
        <v>45729</v>
      </c>
      <c r="F280" s="2" cm="1">
        <f t="array" ref="F280">_xlfn.IFS(B280="Owner Surrender",E280,B280="Stray",E280+6,B280="Stray w/identification",E280+11,B280="Bite",E280+10,B280="Other",E280+30,B280="BAS",E280+56,B280="Seized",E280)</f>
        <v>45735</v>
      </c>
      <c r="G280" s="2">
        <v>45737</v>
      </c>
      <c r="H280" s="6">
        <f t="shared" si="8"/>
        <v>8</v>
      </c>
      <c r="I280" s="6">
        <f t="shared" si="9"/>
        <v>2</v>
      </c>
      <c r="J280" s="2" t="s">
        <v>11</v>
      </c>
    </row>
    <row r="281" spans="1:10" x14ac:dyDescent="0.25">
      <c r="A281" s="1">
        <v>39874</v>
      </c>
      <c r="B281" s="2" t="s">
        <v>36</v>
      </c>
      <c r="C281" t="s">
        <v>149</v>
      </c>
      <c r="D281" t="s">
        <v>209</v>
      </c>
      <c r="E281" s="2">
        <v>45729</v>
      </c>
      <c r="F281" s="2" cm="1">
        <f t="array" ref="F281">_xlfn.IFS(B281="Owner Surrender",E281,B281="Stray",E281+6,B281="Stray w/identification",E281+11,B281="Bite",E281+10,B281="Other",E281+30,B281="BAS",E281+56,B281="Seized",E281)</f>
        <v>45729</v>
      </c>
      <c r="G281" s="2">
        <v>45748</v>
      </c>
      <c r="H281" s="6">
        <f t="shared" si="8"/>
        <v>19</v>
      </c>
      <c r="I281" s="6">
        <f t="shared" si="9"/>
        <v>19</v>
      </c>
      <c r="J281" s="2" t="s">
        <v>31</v>
      </c>
    </row>
    <row r="282" spans="1:10" x14ac:dyDescent="0.25">
      <c r="A282" s="1">
        <v>39875</v>
      </c>
      <c r="B282" s="2" t="s">
        <v>36</v>
      </c>
      <c r="C282" t="s">
        <v>149</v>
      </c>
      <c r="D282" t="s">
        <v>209</v>
      </c>
      <c r="E282" s="2">
        <v>45729</v>
      </c>
      <c r="F282" s="2" cm="1">
        <f t="array" ref="F282">_xlfn.IFS(B282="Owner Surrender",E282,B282="Stray",E282+6,B282="Stray w/identification",E282+11,B282="Bite",E282+10,B282="Other",E282+30,B282="BAS",E282+56,B282="Seized",E282)</f>
        <v>45729</v>
      </c>
      <c r="G282" s="2">
        <v>45730</v>
      </c>
      <c r="H282" s="6">
        <f t="shared" si="8"/>
        <v>1</v>
      </c>
      <c r="I282" s="6">
        <f t="shared" si="9"/>
        <v>1</v>
      </c>
      <c r="J282" s="2" t="s">
        <v>11</v>
      </c>
    </row>
    <row r="283" spans="1:10" x14ac:dyDescent="0.25">
      <c r="A283" s="1">
        <v>39877</v>
      </c>
      <c r="B283" s="2" t="s">
        <v>36</v>
      </c>
      <c r="C283" t="s">
        <v>83</v>
      </c>
      <c r="D283" t="s">
        <v>211</v>
      </c>
      <c r="E283" s="2">
        <v>45729</v>
      </c>
      <c r="F283" s="2" cm="1">
        <f t="array" ref="F283">_xlfn.IFS(B283="Owner Surrender",E283,B283="Stray",E283+6,B283="Stray w/identification",E283+11,B283="Bite",E283+10,B283="Other",E283+30,B283="BAS",E283+56,B283="Seized",E283)</f>
        <v>45729</v>
      </c>
      <c r="G283" s="2">
        <v>45730</v>
      </c>
      <c r="H283" s="6">
        <f t="shared" si="8"/>
        <v>1</v>
      </c>
      <c r="I283" s="6">
        <f t="shared" si="9"/>
        <v>1</v>
      </c>
      <c r="J283" s="2" t="s">
        <v>31</v>
      </c>
    </row>
    <row r="284" spans="1:10" x14ac:dyDescent="0.25">
      <c r="A284" s="1">
        <v>39879</v>
      </c>
      <c r="B284" s="2" t="s">
        <v>53</v>
      </c>
      <c r="C284" t="s">
        <v>50</v>
      </c>
      <c r="D284" t="s">
        <v>208</v>
      </c>
      <c r="E284" s="2">
        <v>45729</v>
      </c>
      <c r="F284" s="2" cm="1">
        <f t="array" ref="F284">_xlfn.IFS(B284="Owner Surrender",E284,B284="Stray",E284+6,B284="Stray w/identification",E284+11,B284="Bite",E284+10,B284="Other",E284+30,B284="BAS",E284+56,B284="Seized",E284)</f>
        <v>45729</v>
      </c>
      <c r="G284" s="2">
        <v>45739</v>
      </c>
      <c r="H284" s="6">
        <f t="shared" si="8"/>
        <v>10</v>
      </c>
      <c r="I284" s="6">
        <f t="shared" si="9"/>
        <v>10</v>
      </c>
      <c r="J284" s="2" t="s">
        <v>31</v>
      </c>
    </row>
    <row r="285" spans="1:10" x14ac:dyDescent="0.25">
      <c r="A285" s="1">
        <v>39881</v>
      </c>
      <c r="B285" s="2" t="s">
        <v>36</v>
      </c>
      <c r="C285" t="s">
        <v>282</v>
      </c>
      <c r="D285" t="s">
        <v>209</v>
      </c>
      <c r="E285" s="2">
        <v>45729</v>
      </c>
      <c r="F285" s="2" cm="1">
        <f t="array" ref="F285">_xlfn.IFS(B285="Owner Surrender",E285,B285="Stray",E285+6,B285="Stray w/identification",E285+11,B285="Bite",E285+10,B285="Other",E285+30,B285="BAS",E285+56,B285="Seized",E285)</f>
        <v>45729</v>
      </c>
      <c r="G285" s="2">
        <v>45734</v>
      </c>
      <c r="H285" s="6">
        <f t="shared" si="8"/>
        <v>5</v>
      </c>
      <c r="I285" s="6">
        <f t="shared" si="9"/>
        <v>5</v>
      </c>
      <c r="J285" s="2" t="s">
        <v>31</v>
      </c>
    </row>
    <row r="286" spans="1:10" x14ac:dyDescent="0.25">
      <c r="A286" s="1">
        <v>39882</v>
      </c>
      <c r="B286" s="2" t="s">
        <v>36</v>
      </c>
      <c r="C286" t="s">
        <v>282</v>
      </c>
      <c r="D286" t="s">
        <v>209</v>
      </c>
      <c r="E286" s="2">
        <v>45729</v>
      </c>
      <c r="F286" s="2" cm="1">
        <f t="array" ref="F286">_xlfn.IFS(B286="Owner Surrender",E286,B286="Stray",E286+6,B286="Stray w/identification",E286+11,B286="Bite",E286+10,B286="Other",E286+30,B286="BAS",E286+56,B286="Seized",E286)</f>
        <v>45729</v>
      </c>
      <c r="G286" s="2">
        <v>45734</v>
      </c>
      <c r="H286" s="6">
        <f t="shared" si="8"/>
        <v>5</v>
      </c>
      <c r="I286" s="6">
        <f t="shared" si="9"/>
        <v>5</v>
      </c>
      <c r="J286" s="2" t="s">
        <v>31</v>
      </c>
    </row>
    <row r="287" spans="1:10" x14ac:dyDescent="0.25">
      <c r="A287" s="1">
        <v>39883</v>
      </c>
      <c r="B287" s="2" t="s">
        <v>36</v>
      </c>
      <c r="C287" t="s">
        <v>282</v>
      </c>
      <c r="D287" t="s">
        <v>209</v>
      </c>
      <c r="E287" s="2">
        <v>45729</v>
      </c>
      <c r="F287" s="2" cm="1">
        <f t="array" ref="F287">_xlfn.IFS(B287="Owner Surrender",E287,B287="Stray",E287+6,B287="Stray w/identification",E287+11,B287="Bite",E287+10,B287="Other",E287+30,B287="BAS",E287+56,B287="Seized",E287)</f>
        <v>45729</v>
      </c>
      <c r="G287" s="2">
        <v>45744</v>
      </c>
      <c r="H287" s="6">
        <f t="shared" si="8"/>
        <v>15</v>
      </c>
      <c r="I287" s="6">
        <f t="shared" si="9"/>
        <v>15</v>
      </c>
      <c r="J287" s="2" t="s">
        <v>31</v>
      </c>
    </row>
    <row r="288" spans="1:10" x14ac:dyDescent="0.25">
      <c r="A288" s="1">
        <v>39884</v>
      </c>
      <c r="B288" s="2" t="s">
        <v>36</v>
      </c>
      <c r="C288" t="s">
        <v>282</v>
      </c>
      <c r="D288" t="s">
        <v>209</v>
      </c>
      <c r="E288" s="2">
        <v>45729</v>
      </c>
      <c r="F288" s="2" cm="1">
        <f t="array" ref="F288">_xlfn.IFS(B288="Owner Surrender",E288,B288="Stray",E288+6,B288="Stray w/identification",E288+11,B288="Bite",E288+10,B288="Other",E288+30,B288="BAS",E288+56,B288="Seized",E288)</f>
        <v>45729</v>
      </c>
      <c r="G288" s="2">
        <v>45744</v>
      </c>
      <c r="H288" s="6">
        <f t="shared" si="8"/>
        <v>15</v>
      </c>
      <c r="I288" s="6">
        <f t="shared" si="9"/>
        <v>15</v>
      </c>
      <c r="J288" s="2" t="s">
        <v>31</v>
      </c>
    </row>
    <row r="289" spans="1:12" x14ac:dyDescent="0.25">
      <c r="A289" s="1">
        <v>39885</v>
      </c>
      <c r="B289" s="2" t="s">
        <v>38</v>
      </c>
      <c r="C289" t="s">
        <v>149</v>
      </c>
      <c r="D289" t="s">
        <v>209</v>
      </c>
      <c r="E289" s="2">
        <v>45729</v>
      </c>
      <c r="F289" s="2" cm="1">
        <f t="array" ref="F289">_xlfn.IFS(B289="Owner Surrender",E289,B289="Stray",E289+6,B289="Stray w/identification",E289+11,B289="Bite",E289+10,B289="Other",E289+30,B289="BAS",E289+56,B289="Seized",E289)</f>
        <v>45735</v>
      </c>
      <c r="G289" s="2">
        <v>45748</v>
      </c>
      <c r="H289" s="6">
        <f t="shared" si="8"/>
        <v>19</v>
      </c>
      <c r="I289" s="6">
        <f t="shared" si="9"/>
        <v>13</v>
      </c>
      <c r="J289" s="2" t="s">
        <v>31</v>
      </c>
    </row>
    <row r="290" spans="1:12" x14ac:dyDescent="0.25">
      <c r="A290" s="1">
        <v>39886</v>
      </c>
      <c r="B290" s="2" t="s">
        <v>38</v>
      </c>
      <c r="C290" t="s">
        <v>149</v>
      </c>
      <c r="D290" t="s">
        <v>209</v>
      </c>
      <c r="E290" s="2">
        <v>45729</v>
      </c>
      <c r="F290" s="2" cm="1">
        <f t="array" ref="F290">_xlfn.IFS(B290="Owner Surrender",E290,B290="Stray",E290+6,B290="Stray w/identification",E290+11,B290="Bite",E290+10,B290="Other",E290+30,B290="BAS",E290+56,B290="Seized",E290)</f>
        <v>45735</v>
      </c>
      <c r="G290" s="2">
        <v>45737</v>
      </c>
      <c r="H290" s="6">
        <f t="shared" si="8"/>
        <v>8</v>
      </c>
      <c r="I290" s="6">
        <f t="shared" si="9"/>
        <v>2</v>
      </c>
      <c r="J290" s="2" t="s">
        <v>11</v>
      </c>
    </row>
    <row r="291" spans="1:12" x14ac:dyDescent="0.25">
      <c r="A291" s="1">
        <v>39889</v>
      </c>
      <c r="B291" s="2" t="s">
        <v>36</v>
      </c>
      <c r="C291" t="s">
        <v>76</v>
      </c>
      <c r="D291" t="s">
        <v>210</v>
      </c>
      <c r="E291" s="2">
        <v>45730</v>
      </c>
      <c r="F291" s="2" cm="1">
        <f t="array" ref="F291">_xlfn.IFS(B291="Owner Surrender",E291,B291="Stray",E291+6,B291="Stray w/identification",E291+11,B291="Bite",E291+10,B291="Other",E291+30,B291="BAS",E291+56,B291="Seized",E291)</f>
        <v>45730</v>
      </c>
      <c r="G291" s="2">
        <v>45734</v>
      </c>
      <c r="H291" s="6">
        <f t="shared" si="8"/>
        <v>4</v>
      </c>
      <c r="I291" s="6">
        <f t="shared" si="9"/>
        <v>4</v>
      </c>
      <c r="J291" s="2" t="s">
        <v>31</v>
      </c>
    </row>
    <row r="292" spans="1:12" x14ac:dyDescent="0.25">
      <c r="A292" s="1">
        <v>39891</v>
      </c>
      <c r="B292" s="2" t="s">
        <v>36</v>
      </c>
      <c r="C292" t="s">
        <v>438</v>
      </c>
      <c r="D292" t="s">
        <v>210</v>
      </c>
      <c r="E292" s="2">
        <v>45730</v>
      </c>
      <c r="F292" s="2" cm="1">
        <f t="array" ref="F292">_xlfn.IFS(B292="Owner Surrender",E292,B292="Stray",E292+6,B292="Stray w/identification",E292+11,B292="Bite",E292+10,B292="Other",E292+30,B292="BAS",E292+56,B292="Seized",E292)</f>
        <v>45730</v>
      </c>
      <c r="G292" s="2">
        <v>45733</v>
      </c>
      <c r="H292" s="6">
        <f t="shared" si="8"/>
        <v>3</v>
      </c>
      <c r="I292" s="6">
        <f t="shared" si="9"/>
        <v>3</v>
      </c>
      <c r="J292" s="2" t="s">
        <v>18</v>
      </c>
      <c r="K292" t="s">
        <v>58</v>
      </c>
    </row>
    <row r="293" spans="1:12" x14ac:dyDescent="0.25">
      <c r="A293" s="1">
        <v>39896</v>
      </c>
      <c r="B293" s="2" t="s">
        <v>38</v>
      </c>
      <c r="C293" t="s">
        <v>109</v>
      </c>
      <c r="D293" t="s">
        <v>208</v>
      </c>
      <c r="E293" s="2">
        <v>45732</v>
      </c>
      <c r="F293" s="2" cm="1">
        <f t="array" ref="F293">_xlfn.IFS(B293="Owner Surrender",E293,B293="Stray",E293+6,B293="Stray w/identification",E293+11,B293="Bite",E293+10,B293="Other",E293+30,B293="BAS",E293+56,B293="Seized",E293)</f>
        <v>45738</v>
      </c>
      <c r="G293" s="2">
        <v>45740</v>
      </c>
      <c r="H293" s="6">
        <f t="shared" si="8"/>
        <v>8</v>
      </c>
      <c r="I293" s="6">
        <f t="shared" si="9"/>
        <v>2</v>
      </c>
      <c r="J293" s="2" t="s">
        <v>18</v>
      </c>
    </row>
    <row r="294" spans="1:12" x14ac:dyDescent="0.25">
      <c r="A294" s="1">
        <v>39898</v>
      </c>
      <c r="B294" s="2" t="s">
        <v>180</v>
      </c>
      <c r="C294" t="s">
        <v>422</v>
      </c>
      <c r="D294" t="s">
        <v>208</v>
      </c>
      <c r="E294" s="2">
        <v>45733</v>
      </c>
      <c r="F294" s="2" cm="1">
        <f t="array" ref="F294">_xlfn.IFS(B294="Owner Surrender",E294,B294="Stray",E294+6,B294="Stray w/identification",E294+11,B294="Bite",E294+10,B294="Other",E294+30,B294="BAS",E294+56,B294="Seized",E294)</f>
        <v>45744</v>
      </c>
      <c r="G294" s="2">
        <v>45733</v>
      </c>
      <c r="H294" s="6">
        <f t="shared" si="8"/>
        <v>0</v>
      </c>
      <c r="I294" s="6">
        <f t="shared" si="9"/>
        <v>-11</v>
      </c>
      <c r="J294" s="2" t="s">
        <v>8</v>
      </c>
    </row>
    <row r="295" spans="1:12" x14ac:dyDescent="0.25">
      <c r="A295" s="1">
        <v>39899</v>
      </c>
      <c r="B295" s="2" t="s">
        <v>36</v>
      </c>
      <c r="C295" t="s">
        <v>511</v>
      </c>
      <c r="D295" t="s">
        <v>208</v>
      </c>
      <c r="E295" s="2">
        <v>45733</v>
      </c>
      <c r="F295" s="2" cm="1">
        <f t="array" ref="F295">_xlfn.IFS(B295="Owner Surrender",E295,B295="Stray",E295+6,B295="Stray w/identification",E295+11,B295="Bite",E295+10,B295="Other",E295+30,B295="BAS",E295+56,B295="Seized",E295)</f>
        <v>45733</v>
      </c>
      <c r="G295" s="2">
        <v>45744</v>
      </c>
      <c r="H295" s="6">
        <f t="shared" si="8"/>
        <v>11</v>
      </c>
      <c r="I295" s="6">
        <f t="shared" si="9"/>
        <v>11</v>
      </c>
      <c r="J295" s="2" t="s">
        <v>11</v>
      </c>
    </row>
    <row r="296" spans="1:12" x14ac:dyDescent="0.25">
      <c r="A296" s="1">
        <v>39901</v>
      </c>
      <c r="B296" s="2" t="s">
        <v>36</v>
      </c>
      <c r="C296" t="s">
        <v>103</v>
      </c>
      <c r="D296" t="s">
        <v>209</v>
      </c>
      <c r="E296" s="2">
        <v>45733</v>
      </c>
      <c r="F296" s="2" cm="1">
        <f t="array" ref="F296">_xlfn.IFS(B296="Owner Surrender",E296,B296="Stray",E296+6,B296="Stray w/identification",E296+11,B296="Bite",E296+10,B296="Other",E296+30,B296="BAS",E296+56,B296="Seized",E296)</f>
        <v>45733</v>
      </c>
      <c r="G296" s="2">
        <v>45782</v>
      </c>
      <c r="H296" s="6">
        <f t="shared" si="8"/>
        <v>49</v>
      </c>
      <c r="I296" s="6">
        <f t="shared" si="9"/>
        <v>49</v>
      </c>
      <c r="J296" s="2" t="s">
        <v>11</v>
      </c>
    </row>
    <row r="297" spans="1:12" x14ac:dyDescent="0.25">
      <c r="A297" s="1">
        <v>39903</v>
      </c>
      <c r="B297" s="2" t="s">
        <v>36</v>
      </c>
      <c r="C297" t="s">
        <v>83</v>
      </c>
      <c r="D297" t="s">
        <v>208</v>
      </c>
      <c r="E297" s="2">
        <v>45733</v>
      </c>
      <c r="F297" s="2" cm="1">
        <f t="array" ref="F297">_xlfn.IFS(B297="Owner Surrender",E297,B297="Stray",E297+6,B297="Stray w/identification",E297+11,B297="Bite",E297+10,B297="Other",E297+30,B297="BAS",E297+56,B297="Seized",E297)</f>
        <v>45733</v>
      </c>
      <c r="G297" s="2">
        <v>45741</v>
      </c>
      <c r="H297" s="6">
        <f t="shared" si="8"/>
        <v>8</v>
      </c>
      <c r="I297" s="6">
        <f t="shared" si="9"/>
        <v>8</v>
      </c>
      <c r="J297" s="2" t="s">
        <v>11</v>
      </c>
    </row>
    <row r="298" spans="1:12" x14ac:dyDescent="0.25">
      <c r="A298" s="1">
        <v>39910</v>
      </c>
      <c r="B298" s="2" t="s">
        <v>36</v>
      </c>
      <c r="C298" t="s">
        <v>486</v>
      </c>
      <c r="D298" t="s">
        <v>209</v>
      </c>
      <c r="E298" s="2">
        <v>45734</v>
      </c>
      <c r="F298" s="2" cm="1">
        <f t="array" ref="F298">_xlfn.IFS(B298="Owner Surrender",E298,B298="Stray",E298+6,B298="Stray w/identification",E298+11,B298="Bite",E298+10,B298="Other",E298+30,B298="BAS",E298+56,B298="Seized",E298)</f>
        <v>45734</v>
      </c>
      <c r="G298" s="2">
        <v>45736</v>
      </c>
      <c r="H298" s="6">
        <f t="shared" si="8"/>
        <v>2</v>
      </c>
      <c r="I298" s="6">
        <f t="shared" si="9"/>
        <v>2</v>
      </c>
      <c r="J298" s="2" t="s">
        <v>31</v>
      </c>
    </row>
    <row r="299" spans="1:12" x14ac:dyDescent="0.25">
      <c r="A299" s="1">
        <v>39911</v>
      </c>
      <c r="B299" s="2" t="s">
        <v>36</v>
      </c>
      <c r="C299" t="s">
        <v>486</v>
      </c>
      <c r="D299" t="s">
        <v>209</v>
      </c>
      <c r="E299" s="2">
        <v>45734</v>
      </c>
      <c r="F299" s="2" cm="1">
        <f t="array" ref="F299">_xlfn.IFS(B299="Owner Surrender",E299,B299="Stray",E299+6,B299="Stray w/identification",E299+11,B299="Bite",E299+10,B299="Other",E299+30,B299="BAS",E299+56,B299="Seized",E299)</f>
        <v>45734</v>
      </c>
      <c r="G299" s="2">
        <v>45736</v>
      </c>
      <c r="H299" s="6">
        <f t="shared" si="8"/>
        <v>2</v>
      </c>
      <c r="I299" s="6">
        <f t="shared" si="9"/>
        <v>2</v>
      </c>
      <c r="J299" s="2" t="s">
        <v>31</v>
      </c>
    </row>
    <row r="300" spans="1:12" x14ac:dyDescent="0.25">
      <c r="A300" s="1">
        <v>39912</v>
      </c>
      <c r="B300" s="2" t="s">
        <v>36</v>
      </c>
      <c r="C300" t="s">
        <v>486</v>
      </c>
      <c r="D300" t="s">
        <v>209</v>
      </c>
      <c r="E300" s="2">
        <v>45734</v>
      </c>
      <c r="F300" s="2" cm="1">
        <f t="array" ref="F300">_xlfn.IFS(B300="Owner Surrender",E300,B300="Stray",E300+6,B300="Stray w/identification",E300+11,B300="Bite",E300+10,B300="Other",E300+30,B300="BAS",E300+56,B300="Seized",E300)</f>
        <v>45734</v>
      </c>
      <c r="G300" s="2">
        <v>45736</v>
      </c>
      <c r="H300" s="6">
        <f t="shared" si="8"/>
        <v>2</v>
      </c>
      <c r="I300" s="6">
        <f t="shared" si="9"/>
        <v>2</v>
      </c>
      <c r="J300" s="2" t="s">
        <v>31</v>
      </c>
    </row>
    <row r="301" spans="1:12" x14ac:dyDescent="0.25">
      <c r="A301" s="1">
        <v>39913</v>
      </c>
      <c r="B301" s="2" t="s">
        <v>36</v>
      </c>
      <c r="C301" t="s">
        <v>486</v>
      </c>
      <c r="D301" t="s">
        <v>209</v>
      </c>
      <c r="E301" s="2">
        <v>45734</v>
      </c>
      <c r="F301" s="2" cm="1">
        <f t="array" ref="F301">_xlfn.IFS(B301="Owner Surrender",E301,B301="Stray",E301+6,B301="Stray w/identification",E301+11,B301="Bite",E301+10,B301="Other",E301+30,B301="BAS",E301+56,B301="Seized",E301)</f>
        <v>45734</v>
      </c>
      <c r="G301" s="2">
        <v>45736</v>
      </c>
      <c r="H301" s="6">
        <f t="shared" si="8"/>
        <v>2</v>
      </c>
      <c r="I301" s="6">
        <f t="shared" si="9"/>
        <v>2</v>
      </c>
      <c r="J301" s="2" t="s">
        <v>31</v>
      </c>
    </row>
    <row r="302" spans="1:12" x14ac:dyDescent="0.25">
      <c r="A302" s="1">
        <v>39914</v>
      </c>
      <c r="B302" s="2" t="s">
        <v>36</v>
      </c>
      <c r="C302" t="s">
        <v>486</v>
      </c>
      <c r="D302" t="s">
        <v>209</v>
      </c>
      <c r="E302" s="2">
        <v>45734</v>
      </c>
      <c r="F302" s="2" cm="1">
        <f t="array" ref="F302">_xlfn.IFS(B302="Owner Surrender",E302,B302="Stray",E302+6,B302="Stray w/identification",E302+11,B302="Bite",E302+10,B302="Other",E302+30,B302="BAS",E302+56,B302="Seized",E302)</f>
        <v>45734</v>
      </c>
      <c r="G302" s="2">
        <v>45736</v>
      </c>
      <c r="H302" s="6">
        <f t="shared" si="8"/>
        <v>2</v>
      </c>
      <c r="I302" s="6">
        <f t="shared" si="9"/>
        <v>2</v>
      </c>
      <c r="J302" s="2" t="s">
        <v>31</v>
      </c>
    </row>
    <row r="303" spans="1:12" x14ac:dyDescent="0.25">
      <c r="A303" s="1">
        <v>39915</v>
      </c>
      <c r="B303" s="2" t="s">
        <v>36</v>
      </c>
      <c r="C303" t="s">
        <v>486</v>
      </c>
      <c r="D303" t="s">
        <v>209</v>
      </c>
      <c r="E303" s="2">
        <v>45734</v>
      </c>
      <c r="F303" s="2" cm="1">
        <f t="array" ref="F303">_xlfn.IFS(B303="Owner Surrender",E303,B303="Stray",E303+6,B303="Stray w/identification",E303+11,B303="Bite",E303+10,B303="Other",E303+30,B303="BAS",E303+56,B303="Seized",E303)</f>
        <v>45734</v>
      </c>
      <c r="G303" s="2">
        <v>45736</v>
      </c>
      <c r="H303" s="6">
        <f t="shared" si="8"/>
        <v>2</v>
      </c>
      <c r="I303" s="6">
        <f t="shared" si="9"/>
        <v>2</v>
      </c>
      <c r="J303" s="2" t="s">
        <v>31</v>
      </c>
    </row>
    <row r="304" spans="1:12" x14ac:dyDescent="0.25">
      <c r="A304" s="1">
        <v>39918</v>
      </c>
      <c r="B304" s="2" t="s">
        <v>36</v>
      </c>
      <c r="C304" t="s">
        <v>520</v>
      </c>
      <c r="D304" t="s">
        <v>211</v>
      </c>
      <c r="E304" s="2">
        <v>45735</v>
      </c>
      <c r="F304" s="2" cm="1">
        <f t="array" ref="F304">_xlfn.IFS(B304="Owner Surrender",E304,B304="Stray",E304+6,B304="Stray w/identification",E304+11,B304="Bite",E304+10,B304="Other",E304+30,B304="BAS",E304+56,B304="Seized",E304)</f>
        <v>45735</v>
      </c>
      <c r="G304" s="2">
        <v>45735</v>
      </c>
      <c r="H304" s="6">
        <f t="shared" si="8"/>
        <v>0</v>
      </c>
      <c r="I304" s="6">
        <f t="shared" si="9"/>
        <v>0</v>
      </c>
      <c r="J304" s="2" t="s">
        <v>31</v>
      </c>
      <c r="L304" t="s">
        <v>521</v>
      </c>
    </row>
    <row r="305" spans="1:12" x14ac:dyDescent="0.25">
      <c r="A305" s="1">
        <v>39919</v>
      </c>
      <c r="B305" s="2" t="s">
        <v>180</v>
      </c>
      <c r="C305" t="s">
        <v>170</v>
      </c>
      <c r="D305" t="s">
        <v>208</v>
      </c>
      <c r="E305" s="2">
        <v>45735</v>
      </c>
      <c r="F305" s="2" cm="1">
        <f t="array" ref="F305">_xlfn.IFS(B305="Owner Surrender",E305,B305="Stray",E305+6,B305="Stray w/identification",E305+11,B305="Bite",E305+10,B305="Other",E305+30,B305="BAS",E305+56,B305="Seized",E305)</f>
        <v>45746</v>
      </c>
      <c r="G305" s="2">
        <v>45740</v>
      </c>
      <c r="H305" s="6">
        <f t="shared" si="8"/>
        <v>5</v>
      </c>
      <c r="I305" s="6">
        <f t="shared" si="9"/>
        <v>-6</v>
      </c>
      <c r="J305" s="2" t="s">
        <v>11</v>
      </c>
    </row>
    <row r="306" spans="1:12" x14ac:dyDescent="0.25">
      <c r="A306" s="1">
        <v>39920</v>
      </c>
      <c r="B306" s="2" t="s">
        <v>36</v>
      </c>
      <c r="C306" t="s">
        <v>520</v>
      </c>
      <c r="D306" t="s">
        <v>210</v>
      </c>
      <c r="E306" s="2">
        <v>45735</v>
      </c>
      <c r="F306" s="2" cm="1">
        <f t="array" ref="F306">_xlfn.IFS(B306="Owner Surrender",E306,B306="Stray",E306+6,B306="Stray w/identification",E306+11,B306="Bite",E306+10,B306="Other",E306+30,B306="BAS",E306+56,B306="Seized",E306)</f>
        <v>45735</v>
      </c>
      <c r="G306" s="2">
        <v>45736</v>
      </c>
      <c r="H306" s="6">
        <f t="shared" si="8"/>
        <v>1</v>
      </c>
      <c r="I306" s="6">
        <f t="shared" si="9"/>
        <v>1</v>
      </c>
      <c r="J306" s="2" t="s">
        <v>31</v>
      </c>
      <c r="L306" t="s">
        <v>33</v>
      </c>
    </row>
    <row r="307" spans="1:12" x14ac:dyDescent="0.25">
      <c r="A307" s="1">
        <v>39932</v>
      </c>
      <c r="B307" s="2" t="s">
        <v>180</v>
      </c>
      <c r="C307" t="s">
        <v>50</v>
      </c>
      <c r="D307" t="s">
        <v>208</v>
      </c>
      <c r="E307" s="2">
        <v>45736</v>
      </c>
      <c r="F307" s="2" cm="1">
        <f t="array" ref="F307">_xlfn.IFS(B307="Owner Surrender",E307,B307="Stray",E307+6,B307="Stray w/identification",E307+11,B307="Bite",E307+10,B307="Other",E307+30,B307="BAS",E307+56,B307="Seized",E307)</f>
        <v>45747</v>
      </c>
      <c r="G307" s="2">
        <v>45755</v>
      </c>
      <c r="H307" s="6">
        <f t="shared" si="8"/>
        <v>19</v>
      </c>
      <c r="I307" s="6">
        <f t="shared" si="9"/>
        <v>8</v>
      </c>
      <c r="J307" s="2" t="s">
        <v>31</v>
      </c>
    </row>
    <row r="308" spans="1:12" x14ac:dyDescent="0.25">
      <c r="A308" s="1">
        <v>39933</v>
      </c>
      <c r="B308" s="2" t="s">
        <v>38</v>
      </c>
      <c r="C308" t="s">
        <v>73</v>
      </c>
      <c r="D308" t="s">
        <v>208</v>
      </c>
      <c r="E308" s="2">
        <v>45736</v>
      </c>
      <c r="F308" s="2" cm="1">
        <f t="array" ref="F308">_xlfn.IFS(B308="Owner Surrender",E308,B308="Stray",E308+6,B308="Stray w/identification",E308+11,B308="Bite",E308+10,B308="Other",E308+30,B308="BAS",E308+56,B308="Seized",E308)</f>
        <v>45742</v>
      </c>
      <c r="G308" s="2">
        <v>45737</v>
      </c>
      <c r="H308" s="6">
        <f t="shared" si="8"/>
        <v>1</v>
      </c>
      <c r="I308" s="6">
        <f t="shared" si="9"/>
        <v>-5</v>
      </c>
      <c r="J308" s="2" t="s">
        <v>8</v>
      </c>
    </row>
    <row r="309" spans="1:12" x14ac:dyDescent="0.25">
      <c r="A309" s="1">
        <v>39934</v>
      </c>
      <c r="B309" s="2" t="s">
        <v>36</v>
      </c>
      <c r="C309" t="s">
        <v>496</v>
      </c>
      <c r="D309" t="s">
        <v>209</v>
      </c>
      <c r="E309" s="2">
        <v>45736</v>
      </c>
      <c r="F309" s="2" cm="1">
        <f t="array" ref="F309">_xlfn.IFS(B309="Owner Surrender",E309,B309="Stray",E309+6,B309="Stray w/identification",E309+11,B309="Bite",E309+10,B309="Other",E309+30,B309="BAS",E309+56,B309="Seized",E309)</f>
        <v>45736</v>
      </c>
      <c r="G309" s="2">
        <v>45738</v>
      </c>
      <c r="H309" s="6">
        <f t="shared" si="8"/>
        <v>2</v>
      </c>
      <c r="I309" s="6">
        <f t="shared" si="9"/>
        <v>2</v>
      </c>
      <c r="J309" s="2" t="s">
        <v>11</v>
      </c>
    </row>
    <row r="310" spans="1:12" x14ac:dyDescent="0.25">
      <c r="A310" s="1">
        <v>39935</v>
      </c>
      <c r="B310" s="2" t="s">
        <v>36</v>
      </c>
      <c r="C310" t="s">
        <v>496</v>
      </c>
      <c r="D310" t="s">
        <v>209</v>
      </c>
      <c r="E310" s="2">
        <v>45736</v>
      </c>
      <c r="F310" s="2" cm="1">
        <f t="array" ref="F310">_xlfn.IFS(B310="Owner Surrender",E310,B310="Stray",E310+6,B310="Stray w/identification",E310+11,B310="Bite",E310+10,B310="Other",E310+30,B310="BAS",E310+56,B310="Seized",E310)</f>
        <v>45736</v>
      </c>
      <c r="G310" s="2">
        <v>45765</v>
      </c>
      <c r="H310" s="6">
        <f t="shared" si="8"/>
        <v>29</v>
      </c>
      <c r="I310" s="6">
        <f t="shared" si="9"/>
        <v>29</v>
      </c>
      <c r="J310" s="2" t="s">
        <v>11</v>
      </c>
      <c r="K310" t="s">
        <v>498</v>
      </c>
    </row>
    <row r="311" spans="1:12" x14ac:dyDescent="0.25">
      <c r="A311" s="1">
        <v>39936</v>
      </c>
      <c r="B311" s="2" t="s">
        <v>36</v>
      </c>
      <c r="C311" t="s">
        <v>496</v>
      </c>
      <c r="D311" t="s">
        <v>209</v>
      </c>
      <c r="E311" s="2">
        <v>45736</v>
      </c>
      <c r="F311" s="2" cm="1">
        <f t="array" ref="F311">_xlfn.IFS(B311="Owner Surrender",E311,B311="Stray",E311+6,B311="Stray w/identification",E311+11,B311="Bite",E311+10,B311="Other",E311+30,B311="BAS",E311+56,B311="Seized",E311)</f>
        <v>45736</v>
      </c>
      <c r="G311" s="2">
        <v>45744</v>
      </c>
      <c r="H311" s="6">
        <f t="shared" si="8"/>
        <v>8</v>
      </c>
      <c r="I311" s="6">
        <f t="shared" si="9"/>
        <v>8</v>
      </c>
      <c r="J311" s="2" t="s">
        <v>11</v>
      </c>
      <c r="K311" t="s">
        <v>512</v>
      </c>
    </row>
    <row r="312" spans="1:12" x14ac:dyDescent="0.25">
      <c r="A312" s="1">
        <v>39937</v>
      </c>
      <c r="B312" s="2" t="s">
        <v>36</v>
      </c>
      <c r="C312" t="s">
        <v>496</v>
      </c>
      <c r="D312" t="s">
        <v>209</v>
      </c>
      <c r="E312" s="2">
        <v>45736</v>
      </c>
      <c r="F312" s="2" cm="1">
        <f t="array" ref="F312">_xlfn.IFS(B312="Owner Surrender",E312,B312="Stray",E312+6,B312="Stray w/identification",E312+11,B312="Bite",E312+10,B312="Other",E312+30,B312="BAS",E312+56,B312="Seized",E312)</f>
        <v>45736</v>
      </c>
      <c r="G312" s="2">
        <v>45742</v>
      </c>
      <c r="H312" s="6">
        <f t="shared" si="8"/>
        <v>6</v>
      </c>
      <c r="I312" s="6">
        <f t="shared" si="9"/>
        <v>6</v>
      </c>
      <c r="J312" s="2" t="s">
        <v>18</v>
      </c>
    </row>
    <row r="313" spans="1:12" x14ac:dyDescent="0.25">
      <c r="A313" s="1">
        <v>39938</v>
      </c>
      <c r="B313" s="2" t="s">
        <v>36</v>
      </c>
      <c r="C313" t="s">
        <v>496</v>
      </c>
      <c r="D313" t="s">
        <v>209</v>
      </c>
      <c r="E313" s="2">
        <v>45736</v>
      </c>
      <c r="F313" s="2" cm="1">
        <f t="array" ref="F313">_xlfn.IFS(B313="Owner Surrender",E313,B313="Stray",E313+6,B313="Stray w/identification",E313+11,B313="Bite",E313+10,B313="Other",E313+30,B313="BAS",E313+56,B313="Seized",E313)</f>
        <v>45736</v>
      </c>
      <c r="G313" s="2">
        <v>45742</v>
      </c>
      <c r="H313" s="6">
        <f t="shared" si="8"/>
        <v>6</v>
      </c>
      <c r="I313" s="6">
        <f t="shared" si="9"/>
        <v>6</v>
      </c>
      <c r="J313" s="2" t="s">
        <v>18</v>
      </c>
    </row>
    <row r="314" spans="1:12" x14ac:dyDescent="0.25">
      <c r="A314" s="1">
        <v>39940</v>
      </c>
      <c r="B314" s="2" t="s">
        <v>36</v>
      </c>
      <c r="C314" t="s">
        <v>496</v>
      </c>
      <c r="D314" t="s">
        <v>209</v>
      </c>
      <c r="E314" s="2">
        <v>45736</v>
      </c>
      <c r="F314" s="2" cm="1">
        <f t="array" ref="F314">_xlfn.IFS(B314="Owner Surrender",E314,B314="Stray",E314+6,B314="Stray w/identification",E314+11,B314="Bite",E314+10,B314="Other",E314+30,B314="BAS",E314+56,B314="Seized",E314)</f>
        <v>45736</v>
      </c>
      <c r="G314" s="2">
        <v>45810</v>
      </c>
      <c r="H314" s="6">
        <f t="shared" si="8"/>
        <v>74</v>
      </c>
      <c r="I314" s="6">
        <f t="shared" si="9"/>
        <v>74</v>
      </c>
      <c r="J314" s="2" t="s">
        <v>11</v>
      </c>
      <c r="K314" t="s">
        <v>497</v>
      </c>
    </row>
    <row r="315" spans="1:12" x14ac:dyDescent="0.25">
      <c r="A315" s="1">
        <v>39941</v>
      </c>
      <c r="B315" s="2" t="s">
        <v>36</v>
      </c>
      <c r="C315" t="s">
        <v>486</v>
      </c>
      <c r="D315" t="s">
        <v>209</v>
      </c>
      <c r="E315" s="2">
        <v>45736</v>
      </c>
      <c r="F315" s="2" cm="1">
        <f t="array" ref="F315">_xlfn.IFS(B315="Owner Surrender",E315,B315="Stray",E315+6,B315="Stray w/identification",E315+11,B315="Bite",E315+10,B315="Other",E315+30,B315="BAS",E315+56,B315="Seized",E315)</f>
        <v>45736</v>
      </c>
      <c r="G315" s="2">
        <v>45739</v>
      </c>
      <c r="H315" s="6">
        <f t="shared" si="8"/>
        <v>3</v>
      </c>
      <c r="I315" s="6">
        <f t="shared" si="9"/>
        <v>3</v>
      </c>
      <c r="J315" s="2" t="s">
        <v>31</v>
      </c>
    </row>
    <row r="316" spans="1:12" x14ac:dyDescent="0.25">
      <c r="A316" s="1">
        <v>39942</v>
      </c>
      <c r="B316" s="2" t="s">
        <v>36</v>
      </c>
      <c r="C316" t="s">
        <v>486</v>
      </c>
      <c r="D316" t="s">
        <v>209</v>
      </c>
      <c r="E316" s="2">
        <v>45736</v>
      </c>
      <c r="F316" s="2" cm="1">
        <f t="array" ref="F316">_xlfn.IFS(B316="Owner Surrender",E316,B316="Stray",E316+6,B316="Stray w/identification",E316+11,B316="Bite",E316+10,B316="Other",E316+30,B316="BAS",E316+56,B316="Seized",E316)</f>
        <v>45736</v>
      </c>
      <c r="G316" s="2">
        <v>45739</v>
      </c>
      <c r="H316" s="6">
        <f t="shared" si="8"/>
        <v>3</v>
      </c>
      <c r="I316" s="6">
        <f t="shared" si="9"/>
        <v>3</v>
      </c>
      <c r="J316" s="2" t="s">
        <v>31</v>
      </c>
    </row>
    <row r="317" spans="1:12" x14ac:dyDescent="0.25">
      <c r="A317" s="1">
        <v>39943</v>
      </c>
      <c r="B317" s="2" t="s">
        <v>36</v>
      </c>
      <c r="C317" t="s">
        <v>515</v>
      </c>
      <c r="D317" t="s">
        <v>208</v>
      </c>
      <c r="E317" s="2">
        <v>45736</v>
      </c>
      <c r="F317" s="2" cm="1">
        <f t="array" ref="F317">_xlfn.IFS(B317="Owner Surrender",E317,B317="Stray",E317+6,B317="Stray w/identification",E317+11,B317="Bite",E317+10,B317="Other",E317+30,B317="BAS",E317+56,B317="Seized",E317)</f>
        <v>45736</v>
      </c>
      <c r="G317" s="2">
        <v>45739</v>
      </c>
      <c r="H317" s="6">
        <f t="shared" si="8"/>
        <v>3</v>
      </c>
      <c r="I317" s="6">
        <f t="shared" si="9"/>
        <v>3</v>
      </c>
      <c r="J317" s="2" t="s">
        <v>31</v>
      </c>
    </row>
    <row r="318" spans="1:12" x14ac:dyDescent="0.25">
      <c r="A318" s="1">
        <v>39944</v>
      </c>
      <c r="B318" s="2" t="s">
        <v>36</v>
      </c>
      <c r="C318" t="s">
        <v>282</v>
      </c>
      <c r="D318" t="s">
        <v>210</v>
      </c>
      <c r="E318" s="2">
        <v>45736</v>
      </c>
      <c r="F318" s="2" cm="1">
        <f t="array" ref="F318">_xlfn.IFS(B318="Owner Surrender",E318,B318="Stray",E318+6,B318="Stray w/identification",E318+11,B318="Bite",E318+10,B318="Other",E318+30,B318="BAS",E318+56,B318="Seized",E318)</f>
        <v>45736</v>
      </c>
      <c r="G318" s="2">
        <v>45756</v>
      </c>
      <c r="H318" s="6">
        <f t="shared" si="8"/>
        <v>20</v>
      </c>
      <c r="I318" s="6">
        <f t="shared" si="9"/>
        <v>20</v>
      </c>
      <c r="J318" s="2" t="s">
        <v>11</v>
      </c>
    </row>
    <row r="319" spans="1:12" x14ac:dyDescent="0.25">
      <c r="A319" s="1">
        <v>39953</v>
      </c>
      <c r="B319" s="2" t="s">
        <v>38</v>
      </c>
      <c r="C319" t="s">
        <v>49</v>
      </c>
      <c r="D319" t="s">
        <v>208</v>
      </c>
      <c r="E319" s="2">
        <v>45737</v>
      </c>
      <c r="F319" s="2" cm="1">
        <f t="array" ref="F319">_xlfn.IFS(B319="Owner Surrender",E319,B319="Stray",E319+6,B319="Stray w/identification",E319+11,B319="Bite",E319+10,B319="Other",E319+30,B319="BAS",E319+56,B319="Seized",E319)</f>
        <v>45743</v>
      </c>
      <c r="G319" s="2">
        <v>45744</v>
      </c>
      <c r="H319" s="6">
        <f t="shared" si="8"/>
        <v>7</v>
      </c>
      <c r="I319" s="6">
        <f t="shared" si="9"/>
        <v>1</v>
      </c>
      <c r="J319" s="2" t="s">
        <v>31</v>
      </c>
    </row>
    <row r="320" spans="1:12" x14ac:dyDescent="0.25">
      <c r="A320" s="1">
        <v>39954</v>
      </c>
      <c r="B320" s="2" t="s">
        <v>38</v>
      </c>
      <c r="C320" t="s">
        <v>73</v>
      </c>
      <c r="D320" t="s">
        <v>209</v>
      </c>
      <c r="E320" s="2">
        <v>45737</v>
      </c>
      <c r="F320" s="2" cm="1">
        <f t="array" ref="F320">_xlfn.IFS(B320="Owner Surrender",E320,B320="Stray",E320+6,B320="Stray w/identification",E320+11,B320="Bite",E320+10,B320="Other",E320+30,B320="BAS",E320+56,B320="Seized",E320)</f>
        <v>45743</v>
      </c>
      <c r="G320" s="2">
        <v>45744</v>
      </c>
      <c r="H320" s="6">
        <f t="shared" si="8"/>
        <v>7</v>
      </c>
      <c r="I320" s="6">
        <f t="shared" si="9"/>
        <v>1</v>
      </c>
      <c r="J320" s="2" t="s">
        <v>11</v>
      </c>
    </row>
    <row r="321" spans="1:12" x14ac:dyDescent="0.25">
      <c r="A321" s="1">
        <v>39962</v>
      </c>
      <c r="B321" s="2" t="s">
        <v>38</v>
      </c>
      <c r="C321" t="s">
        <v>149</v>
      </c>
      <c r="D321" t="s">
        <v>211</v>
      </c>
      <c r="E321" s="2">
        <v>45738</v>
      </c>
      <c r="F321" s="2" cm="1">
        <f t="array" ref="F321">_xlfn.IFS(B321="Owner Surrender",E321,B321="Stray",E321+6,B321="Stray w/identification",E321+11,B321="Bite",E321+10,B321="Other",E321+30,B321="BAS",E321+56,B321="Seized",E321)</f>
        <v>45744</v>
      </c>
      <c r="G321" s="2">
        <v>45738</v>
      </c>
      <c r="H321" s="6">
        <f t="shared" si="8"/>
        <v>0</v>
      </c>
      <c r="I321" s="6">
        <f t="shared" si="9"/>
        <v>-6</v>
      </c>
      <c r="J321" s="2" t="s">
        <v>8</v>
      </c>
    </row>
    <row r="322" spans="1:12" x14ac:dyDescent="0.25">
      <c r="A322" s="1">
        <v>39963</v>
      </c>
      <c r="B322" s="2" t="s">
        <v>180</v>
      </c>
      <c r="C322" t="s">
        <v>57</v>
      </c>
      <c r="D322" t="s">
        <v>208</v>
      </c>
      <c r="E322" s="2">
        <v>45738</v>
      </c>
      <c r="F322" s="2" cm="1">
        <f t="array" ref="F322">_xlfn.IFS(B322="Owner Surrender",E322,B322="Stray",E322+6,B322="Stray w/identification",E322+11,B322="Bite",E322+10,B322="Other",E322+30,B322="BAS",E322+56,B322="Seized",E322)</f>
        <v>45749</v>
      </c>
      <c r="G322" s="2">
        <v>45740</v>
      </c>
      <c r="H322" s="6">
        <f t="shared" si="8"/>
        <v>2</v>
      </c>
      <c r="I322" s="6">
        <f t="shared" si="9"/>
        <v>-9</v>
      </c>
      <c r="J322" s="2" t="s">
        <v>8</v>
      </c>
    </row>
    <row r="323" spans="1:12" x14ac:dyDescent="0.25">
      <c r="A323" s="1">
        <v>39968</v>
      </c>
      <c r="B323" s="2" t="s">
        <v>38</v>
      </c>
      <c r="C323" t="s">
        <v>514</v>
      </c>
      <c r="D323" t="s">
        <v>208</v>
      </c>
      <c r="E323" s="2">
        <v>45740</v>
      </c>
      <c r="F323" s="2" cm="1">
        <f t="array" ref="F323">_xlfn.IFS(B323="Owner Surrender",E323,B323="Stray",E323+6,B323="Stray w/identification",E323+11,B323="Bite",E323+10,B323="Other",E323+30,B323="BAS",E323+56,B323="Seized",E323)</f>
        <v>45746</v>
      </c>
      <c r="G323" s="2">
        <v>45747</v>
      </c>
      <c r="H323" s="6">
        <f t="shared" ref="H323:H386" si="10">+G323-E323</f>
        <v>7</v>
      </c>
      <c r="I323" s="6">
        <f t="shared" ref="I323:I386" si="11">G323-F323</f>
        <v>1</v>
      </c>
      <c r="J323" s="2" t="s">
        <v>31</v>
      </c>
    </row>
    <row r="324" spans="1:12" x14ac:dyDescent="0.25">
      <c r="A324" s="1">
        <v>39969</v>
      </c>
      <c r="B324" s="2" t="s">
        <v>38</v>
      </c>
      <c r="C324" t="s">
        <v>236</v>
      </c>
      <c r="D324" t="s">
        <v>208</v>
      </c>
      <c r="E324" s="2">
        <v>45740</v>
      </c>
      <c r="F324" s="2" cm="1">
        <f t="array" ref="F324">_xlfn.IFS(B324="Owner Surrender",E324,B324="Stray",E324+6,B324="Stray w/identification",E324+11,B324="Bite",E324+10,B324="Other",E324+30,B324="BAS",E324+56,B324="Seized",E324)</f>
        <v>45746</v>
      </c>
      <c r="G324" s="2">
        <v>45750</v>
      </c>
      <c r="H324" s="6">
        <f t="shared" si="10"/>
        <v>10</v>
      </c>
      <c r="I324" s="6">
        <f t="shared" si="11"/>
        <v>4</v>
      </c>
      <c r="J324" s="2" t="s">
        <v>31</v>
      </c>
      <c r="K324" t="s">
        <v>539</v>
      </c>
    </row>
    <row r="325" spans="1:12" x14ac:dyDescent="0.25">
      <c r="A325" s="1">
        <v>39970</v>
      </c>
      <c r="B325" s="2" t="s">
        <v>38</v>
      </c>
      <c r="C325" t="s">
        <v>236</v>
      </c>
      <c r="D325" t="s">
        <v>208</v>
      </c>
      <c r="E325" s="2">
        <v>45740</v>
      </c>
      <c r="F325" s="2" cm="1">
        <f t="array" ref="F325">_xlfn.IFS(B325="Owner Surrender",E325,B325="Stray",E325+6,B325="Stray w/identification",E325+11,B325="Bite",E325+10,B325="Other",E325+30,B325="BAS",E325+56,B325="Seized",E325)</f>
        <v>45746</v>
      </c>
      <c r="G325" s="2">
        <v>45750</v>
      </c>
      <c r="H325" s="6">
        <f t="shared" si="10"/>
        <v>10</v>
      </c>
      <c r="I325" s="6">
        <f t="shared" si="11"/>
        <v>4</v>
      </c>
      <c r="J325" s="2" t="s">
        <v>31</v>
      </c>
    </row>
    <row r="326" spans="1:12" x14ac:dyDescent="0.25">
      <c r="A326" s="1">
        <v>39971</v>
      </c>
      <c r="B326" s="2" t="s">
        <v>36</v>
      </c>
      <c r="C326" t="s">
        <v>56</v>
      </c>
      <c r="D326" t="s">
        <v>209</v>
      </c>
      <c r="E326" s="2">
        <v>45740</v>
      </c>
      <c r="F326" s="2" cm="1">
        <f t="array" ref="F326">_xlfn.IFS(B326="Owner Surrender",E326,B326="Stray",E326+6,B326="Stray w/identification",E326+11,B326="Bite",E326+10,B326="Other",E326+30,B326="BAS",E326+56,B326="Seized",E326)</f>
        <v>45740</v>
      </c>
      <c r="G326" s="2">
        <v>45764</v>
      </c>
      <c r="H326" s="6">
        <f t="shared" si="10"/>
        <v>24</v>
      </c>
      <c r="I326" s="6">
        <f t="shared" si="11"/>
        <v>24</v>
      </c>
      <c r="J326" s="2" t="s">
        <v>11</v>
      </c>
      <c r="K326" t="s">
        <v>495</v>
      </c>
    </row>
    <row r="327" spans="1:12" x14ac:dyDescent="0.25">
      <c r="A327" s="1">
        <v>39973</v>
      </c>
      <c r="B327" s="2" t="s">
        <v>38</v>
      </c>
      <c r="C327" t="s">
        <v>525</v>
      </c>
      <c r="D327" t="s">
        <v>209</v>
      </c>
      <c r="E327" s="2">
        <v>45740</v>
      </c>
      <c r="F327" s="2" cm="1">
        <f t="array" ref="F327">_xlfn.IFS(B327="Owner Surrender",E327,B327="Stray",E327+6,B327="Stray w/identification",E327+11,B327="Bite",E327+10,B327="Other",E327+30,B327="BAS",E327+56,B327="Seized",E327)</f>
        <v>45746</v>
      </c>
      <c r="G327" s="2">
        <v>45748</v>
      </c>
      <c r="H327" s="6">
        <f t="shared" si="10"/>
        <v>8</v>
      </c>
      <c r="I327" s="6">
        <f t="shared" si="11"/>
        <v>2</v>
      </c>
      <c r="J327" s="2" t="s">
        <v>11</v>
      </c>
    </row>
    <row r="328" spans="1:12" x14ac:dyDescent="0.25">
      <c r="A328" s="1">
        <v>39974</v>
      </c>
      <c r="B328" s="2" t="s">
        <v>38</v>
      </c>
      <c r="C328" t="s">
        <v>525</v>
      </c>
      <c r="D328" t="s">
        <v>209</v>
      </c>
      <c r="E328" s="2">
        <v>45740</v>
      </c>
      <c r="F328" s="2" cm="1">
        <f t="array" ref="F328">_xlfn.IFS(B328="Owner Surrender",E328,B328="Stray",E328+6,B328="Stray w/identification",E328+11,B328="Bite",E328+10,B328="Other",E328+30,B328="BAS",E328+56,B328="Seized",E328)</f>
        <v>45746</v>
      </c>
      <c r="G328" s="2">
        <v>45748</v>
      </c>
      <c r="H328" s="6">
        <f t="shared" si="10"/>
        <v>8</v>
      </c>
      <c r="I328" s="6">
        <f t="shared" si="11"/>
        <v>2</v>
      </c>
      <c r="J328" s="2" t="s">
        <v>11</v>
      </c>
    </row>
    <row r="329" spans="1:12" x14ac:dyDescent="0.25">
      <c r="A329" s="1">
        <v>39975</v>
      </c>
      <c r="B329" s="2" t="s">
        <v>38</v>
      </c>
      <c r="C329" t="s">
        <v>493</v>
      </c>
      <c r="D329" t="s">
        <v>209</v>
      </c>
      <c r="E329" s="2">
        <v>45740</v>
      </c>
      <c r="F329" s="2" cm="1">
        <f t="array" ref="F329">_xlfn.IFS(B329="Owner Surrender",E329,B329="Stray",E329+6,B329="Stray w/identification",E329+11,B329="Bite",E329+10,B329="Other",E329+30,B329="BAS",E329+56,B329="Seized",E329)</f>
        <v>45746</v>
      </c>
      <c r="G329" s="2">
        <v>45778</v>
      </c>
      <c r="H329" s="6">
        <f t="shared" si="10"/>
        <v>38</v>
      </c>
      <c r="I329" s="6">
        <f t="shared" si="11"/>
        <v>32</v>
      </c>
      <c r="J329" s="2" t="s">
        <v>11</v>
      </c>
      <c r="K329" t="s">
        <v>494</v>
      </c>
    </row>
    <row r="330" spans="1:12" x14ac:dyDescent="0.25">
      <c r="A330" s="1">
        <v>39976</v>
      </c>
      <c r="B330" s="2" t="s">
        <v>38</v>
      </c>
      <c r="C330" t="s">
        <v>525</v>
      </c>
      <c r="D330" t="s">
        <v>209</v>
      </c>
      <c r="E330" s="2">
        <v>45740</v>
      </c>
      <c r="F330" s="2" cm="1">
        <f t="array" ref="F330">_xlfn.IFS(B330="Owner Surrender",E330,B330="Stray",E330+6,B330="Stray w/identification",E330+11,B330="Bite",E330+10,B330="Other",E330+30,B330="BAS",E330+56,B330="Seized",E330)</f>
        <v>45746</v>
      </c>
      <c r="G330" s="2">
        <v>45769</v>
      </c>
      <c r="H330" s="6">
        <f t="shared" si="10"/>
        <v>29</v>
      </c>
      <c r="I330" s="6">
        <f t="shared" si="11"/>
        <v>23</v>
      </c>
      <c r="J330" s="2" t="s">
        <v>11</v>
      </c>
    </row>
    <row r="331" spans="1:12" x14ac:dyDescent="0.25">
      <c r="A331" s="29">
        <v>39979</v>
      </c>
      <c r="B331" s="16" t="s">
        <v>42</v>
      </c>
      <c r="C331" s="10" t="s">
        <v>56</v>
      </c>
      <c r="D331" s="10" t="s">
        <v>208</v>
      </c>
      <c r="E331" s="16">
        <v>45741</v>
      </c>
      <c r="F331" s="16" cm="1">
        <f t="array" ref="F331">_xlfn.IFS(B331="Owner Surrender",E331,B331="Stray",E331+6,B331="Stray w/identification",E331+11,B331="Bite",E331+10,B331="Other",E331+30,B331="BAS",E331+56,B331="Seized",E331)</f>
        <v>45751</v>
      </c>
      <c r="G331" s="16"/>
      <c r="H331" s="30">
        <f t="shared" si="10"/>
        <v>-45741</v>
      </c>
      <c r="I331" s="30">
        <f t="shared" si="11"/>
        <v>-45751</v>
      </c>
      <c r="J331" s="16" t="s">
        <v>21</v>
      </c>
      <c r="K331" s="10"/>
      <c r="L331" s="10"/>
    </row>
    <row r="332" spans="1:12" x14ac:dyDescent="0.25">
      <c r="A332" s="1">
        <v>39980</v>
      </c>
      <c r="B332" s="2" t="s">
        <v>38</v>
      </c>
      <c r="C332" t="s">
        <v>109</v>
      </c>
      <c r="D332" t="s">
        <v>208</v>
      </c>
      <c r="E332" s="2">
        <v>45740</v>
      </c>
      <c r="F332" s="2" cm="1">
        <f t="array" ref="F332">_xlfn.IFS(B332="Owner Surrender",E332,B332="Stray",E332+6,B332="Stray w/identification",E332+11,B332="Bite",E332+10,B332="Other",E332+30,B332="BAS",E332+56,B332="Seized",E332)</f>
        <v>45746</v>
      </c>
      <c r="G332" s="2">
        <v>45770</v>
      </c>
      <c r="H332" s="6">
        <f t="shared" si="10"/>
        <v>30</v>
      </c>
      <c r="I332" s="6">
        <f t="shared" si="11"/>
        <v>24</v>
      </c>
      <c r="J332" s="2" t="s">
        <v>11</v>
      </c>
    </row>
    <row r="333" spans="1:12" x14ac:dyDescent="0.25">
      <c r="A333" s="29">
        <v>39981</v>
      </c>
      <c r="B333" s="16" t="s">
        <v>42</v>
      </c>
      <c r="C333" s="10" t="s">
        <v>56</v>
      </c>
      <c r="D333" s="10" t="s">
        <v>211</v>
      </c>
      <c r="E333" s="16">
        <v>45741</v>
      </c>
      <c r="F333" s="16" cm="1">
        <f t="array" ref="F333">_xlfn.IFS(B333="Owner Surrender",E333,B333="Stray",E333+6,B333="Stray w/identification",E333+11,B333="Bite",E333+10,B333="Other",E333+30,B333="BAS",E333+56,B333="Seized",E333)</f>
        <v>45751</v>
      </c>
      <c r="G333" s="16"/>
      <c r="H333" s="30">
        <f t="shared" si="10"/>
        <v>-45741</v>
      </c>
      <c r="I333" s="30">
        <f t="shared" si="11"/>
        <v>-45751</v>
      </c>
      <c r="J333" s="16" t="s">
        <v>21</v>
      </c>
      <c r="K333" s="10"/>
      <c r="L333" s="10"/>
    </row>
    <row r="334" spans="1:12" x14ac:dyDescent="0.25">
      <c r="A334" s="1">
        <v>39982</v>
      </c>
      <c r="B334" s="2" t="s">
        <v>38</v>
      </c>
      <c r="C334" t="s">
        <v>50</v>
      </c>
      <c r="D334" t="s">
        <v>208</v>
      </c>
      <c r="E334" s="2">
        <v>45741</v>
      </c>
      <c r="F334" s="2" cm="1">
        <f t="array" ref="F334">_xlfn.IFS(B334="Owner Surrender",E334,B334="Stray",E334+6,B334="Stray w/identification",E334+11,B334="Bite",E334+10,B334="Other",E334+30,B334="BAS",E334+56,B334="Seized",E334)</f>
        <v>45747</v>
      </c>
      <c r="G334" s="2">
        <v>45743</v>
      </c>
      <c r="H334" s="6">
        <f t="shared" si="10"/>
        <v>2</v>
      </c>
      <c r="I334" s="6">
        <f t="shared" si="11"/>
        <v>-4</v>
      </c>
      <c r="J334" s="2" t="s">
        <v>8</v>
      </c>
    </row>
    <row r="335" spans="1:12" x14ac:dyDescent="0.25">
      <c r="A335" s="1">
        <v>39983</v>
      </c>
      <c r="B335" s="2" t="s">
        <v>36</v>
      </c>
      <c r="C335" t="s">
        <v>49</v>
      </c>
      <c r="D335" t="s">
        <v>208</v>
      </c>
      <c r="E335" s="2">
        <v>45741</v>
      </c>
      <c r="F335" s="2" cm="1">
        <f t="array" ref="F335">_xlfn.IFS(B335="Owner Surrender",E335,B335="Stray",E335+6,B335="Stray w/identification",E335+11,B335="Bite",E335+10,B335="Other",E335+30,B335="BAS",E335+56,B335="Seized",E335)</f>
        <v>45741</v>
      </c>
      <c r="G335" s="2">
        <v>45744</v>
      </c>
      <c r="H335" s="6">
        <f t="shared" si="10"/>
        <v>3</v>
      </c>
      <c r="I335" s="6">
        <f t="shared" si="11"/>
        <v>3</v>
      </c>
      <c r="J335" s="2" t="s">
        <v>31</v>
      </c>
    </row>
    <row r="336" spans="1:12" x14ac:dyDescent="0.25">
      <c r="A336" s="1">
        <v>39984</v>
      </c>
      <c r="B336" s="2" t="s">
        <v>180</v>
      </c>
      <c r="C336" t="s">
        <v>96</v>
      </c>
      <c r="D336" t="s">
        <v>208</v>
      </c>
      <c r="E336" s="2">
        <v>45742</v>
      </c>
      <c r="F336" s="2" cm="1">
        <f t="array" ref="F336">_xlfn.IFS(B336="Owner Surrender",E336,B336="Stray",E336+6,B336="Stray w/identification",E336+11,B336="Bite",E336+10,B336="Other",E336+30,B336="BAS",E336+56,B336="Seized",E336)</f>
        <v>45753</v>
      </c>
      <c r="G336" s="2">
        <v>45743</v>
      </c>
      <c r="H336" s="6">
        <f t="shared" si="10"/>
        <v>1</v>
      </c>
      <c r="I336" s="6">
        <f t="shared" si="11"/>
        <v>-10</v>
      </c>
      <c r="J336" s="2" t="s">
        <v>8</v>
      </c>
    </row>
    <row r="337" spans="1:11" x14ac:dyDescent="0.25">
      <c r="A337" s="1">
        <v>39987</v>
      </c>
      <c r="B337" s="2" t="s">
        <v>38</v>
      </c>
      <c r="C337" t="s">
        <v>50</v>
      </c>
      <c r="D337" t="s">
        <v>208</v>
      </c>
      <c r="E337" s="2">
        <v>45741</v>
      </c>
      <c r="F337" s="2" cm="1">
        <f t="array" ref="F337">_xlfn.IFS(B337="Owner Surrender",E337,B337="Stray",E337+6,B337="Stray w/identification",E337+11,B337="Bite",E337+10,B337="Other",E337+30,B337="BAS",E337+56,B337="Seized",E337)</f>
        <v>45747</v>
      </c>
      <c r="G337" s="2">
        <v>45748</v>
      </c>
      <c r="H337" s="6">
        <f t="shared" si="10"/>
        <v>7</v>
      </c>
      <c r="I337" s="6">
        <f t="shared" si="11"/>
        <v>1</v>
      </c>
      <c r="J337" s="2" t="s">
        <v>31</v>
      </c>
    </row>
    <row r="338" spans="1:11" x14ac:dyDescent="0.25">
      <c r="A338" s="1">
        <v>39989</v>
      </c>
      <c r="B338" s="2" t="s">
        <v>38</v>
      </c>
      <c r="C338" t="s">
        <v>514</v>
      </c>
      <c r="D338" t="s">
        <v>208</v>
      </c>
      <c r="E338" s="2">
        <v>45742</v>
      </c>
      <c r="F338" s="2" cm="1">
        <f t="array" ref="F338">_xlfn.IFS(B338="Owner Surrender",E338,B338="Stray",E338+6,B338="Stray w/identification",E338+11,B338="Bite",E338+10,B338="Other",E338+30,B338="BAS",E338+56,B338="Seized",E338)</f>
        <v>45748</v>
      </c>
      <c r="G338" s="2">
        <v>45755</v>
      </c>
      <c r="H338" s="6">
        <f t="shared" si="10"/>
        <v>13</v>
      </c>
      <c r="I338" s="6">
        <f t="shared" si="11"/>
        <v>7</v>
      </c>
      <c r="J338" s="2" t="s">
        <v>31</v>
      </c>
    </row>
    <row r="339" spans="1:11" x14ac:dyDescent="0.25">
      <c r="A339" s="1">
        <v>39990</v>
      </c>
      <c r="B339" s="2" t="s">
        <v>36</v>
      </c>
      <c r="C339" t="s">
        <v>56</v>
      </c>
      <c r="D339" t="s">
        <v>208</v>
      </c>
      <c r="E339" s="2">
        <v>45733</v>
      </c>
      <c r="F339" s="2" cm="1">
        <f t="array" ref="F339">_xlfn.IFS(B339="Owner Surrender",E339,B339="Stray",E339+6,B339="Stray w/identification",E339+11,B339="Bite",E339+10,B339="Other",E339+30,B339="BAS",E339+56,B339="Seized",E339)</f>
        <v>45733</v>
      </c>
      <c r="G339" s="2">
        <v>45739</v>
      </c>
      <c r="H339" s="6">
        <f t="shared" si="10"/>
        <v>6</v>
      </c>
      <c r="I339" s="6">
        <f t="shared" si="11"/>
        <v>6</v>
      </c>
      <c r="J339" s="2" t="s">
        <v>31</v>
      </c>
    </row>
    <row r="340" spans="1:11" x14ac:dyDescent="0.25">
      <c r="A340" s="1">
        <v>39998</v>
      </c>
      <c r="B340" s="2" t="s">
        <v>36</v>
      </c>
      <c r="C340" t="s">
        <v>57</v>
      </c>
      <c r="D340" t="s">
        <v>209</v>
      </c>
      <c r="E340" s="2">
        <v>45743</v>
      </c>
      <c r="F340" s="2" cm="1">
        <f t="array" ref="F340">_xlfn.IFS(B340="Owner Surrender",E340,B340="Stray",E340+6,B340="Stray w/identification",E340+11,B340="Bite",E340+10,B340="Other",E340+30,B340="BAS",E340+56,B340="Seized",E340)</f>
        <v>45743</v>
      </c>
      <c r="G340" s="2">
        <v>45751</v>
      </c>
      <c r="H340" s="6">
        <f t="shared" si="10"/>
        <v>8</v>
      </c>
      <c r="I340" s="6">
        <f t="shared" si="11"/>
        <v>8</v>
      </c>
      <c r="J340" s="2" t="s">
        <v>11</v>
      </c>
    </row>
    <row r="341" spans="1:11" x14ac:dyDescent="0.25">
      <c r="A341" s="1">
        <v>39999</v>
      </c>
      <c r="B341" s="2" t="s">
        <v>36</v>
      </c>
      <c r="C341" t="s">
        <v>57</v>
      </c>
      <c r="D341" t="s">
        <v>209</v>
      </c>
      <c r="E341" s="2">
        <v>45743</v>
      </c>
      <c r="F341" s="2" cm="1">
        <f t="array" ref="F341">_xlfn.IFS(B341="Owner Surrender",E341,B341="Stray",E341+6,B341="Stray w/identification",E341+11,B341="Bite",E341+10,B341="Other",E341+30,B341="BAS",E341+56,B341="Seized",E341)</f>
        <v>45743</v>
      </c>
      <c r="G341" s="2">
        <v>45757</v>
      </c>
      <c r="H341" s="6">
        <f t="shared" si="10"/>
        <v>14</v>
      </c>
      <c r="I341" s="6">
        <f t="shared" si="11"/>
        <v>14</v>
      </c>
      <c r="J341" s="2" t="s">
        <v>18</v>
      </c>
    </row>
    <row r="342" spans="1:11" x14ac:dyDescent="0.25">
      <c r="A342" s="1">
        <v>40000</v>
      </c>
      <c r="B342" s="2" t="s">
        <v>38</v>
      </c>
      <c r="C342" t="s">
        <v>527</v>
      </c>
      <c r="D342" t="s">
        <v>208</v>
      </c>
      <c r="E342" s="2">
        <v>45743</v>
      </c>
      <c r="F342" s="2" cm="1">
        <f t="array" ref="F342">_xlfn.IFS(B342="Owner Surrender",E342,B342="Stray",E342+6,B342="Stray w/identification",E342+11,B342="Bite",E342+10,B342="Other",E342+30,B342="BAS",E342+56,B342="Seized",E342)</f>
        <v>45749</v>
      </c>
      <c r="G342" s="2">
        <v>45776</v>
      </c>
      <c r="H342" s="6">
        <f t="shared" si="10"/>
        <v>33</v>
      </c>
      <c r="I342" s="6">
        <f t="shared" si="11"/>
        <v>27</v>
      </c>
      <c r="J342" s="2" t="s">
        <v>18</v>
      </c>
    </row>
    <row r="343" spans="1:11" x14ac:dyDescent="0.25">
      <c r="A343" s="1">
        <v>40003</v>
      </c>
      <c r="B343" s="2" t="s">
        <v>42</v>
      </c>
      <c r="C343" t="s">
        <v>50</v>
      </c>
      <c r="D343" t="s">
        <v>208</v>
      </c>
      <c r="E343" s="2">
        <v>45743</v>
      </c>
      <c r="F343" s="2" cm="1">
        <f t="array" ref="F343">_xlfn.IFS(B343="Owner Surrender",E343,B343="Stray",E343+6,B343="Stray w/identification",E343+11,B343="Bite",E343+10,B343="Other",E343+30,B343="BAS",E343+56,B343="Seized",E343)</f>
        <v>45753</v>
      </c>
      <c r="G343" s="2">
        <v>45755</v>
      </c>
      <c r="H343" s="6">
        <f t="shared" si="10"/>
        <v>12</v>
      </c>
      <c r="I343" s="6">
        <f t="shared" si="11"/>
        <v>2</v>
      </c>
      <c r="J343" s="2" t="s">
        <v>31</v>
      </c>
    </row>
    <row r="344" spans="1:11" x14ac:dyDescent="0.25">
      <c r="A344" s="1">
        <v>40007</v>
      </c>
      <c r="B344" s="2" t="s">
        <v>38</v>
      </c>
      <c r="C344" t="s">
        <v>52</v>
      </c>
      <c r="D344" t="s">
        <v>208</v>
      </c>
      <c r="E344" s="2">
        <v>45744</v>
      </c>
      <c r="F344" s="2" cm="1">
        <f t="array" ref="F344">_xlfn.IFS(B344="Owner Surrender",E344,B344="Stray",E344+6,B344="Stray w/identification",E344+11,B344="Bite",E344+10,B344="Other",E344+30,B344="BAS",E344+56,B344="Seized",E344)</f>
        <v>45750</v>
      </c>
      <c r="G344" s="2">
        <v>45744</v>
      </c>
      <c r="H344" s="6">
        <f t="shared" si="10"/>
        <v>0</v>
      </c>
      <c r="I344" s="6">
        <f t="shared" si="11"/>
        <v>-6</v>
      </c>
      <c r="J344" s="2" t="s">
        <v>8</v>
      </c>
    </row>
    <row r="345" spans="1:11" x14ac:dyDescent="0.25">
      <c r="A345" s="1">
        <v>40011</v>
      </c>
      <c r="B345" s="2" t="s">
        <v>36</v>
      </c>
      <c r="C345" t="s">
        <v>76</v>
      </c>
      <c r="D345" t="s">
        <v>210</v>
      </c>
      <c r="E345" s="2">
        <v>45744</v>
      </c>
      <c r="F345" s="2" cm="1">
        <f t="array" ref="F345">_xlfn.IFS(B345="Owner Surrender",E345,B345="Stray",E345+6,B345="Stray w/identification",E345+11,B345="Bite",E345+10,B345="Other",E345+30,B345="BAS",E345+56,B345="Seized",E345)</f>
        <v>45744</v>
      </c>
      <c r="G345" s="2">
        <v>45747</v>
      </c>
      <c r="H345" s="6">
        <f t="shared" si="10"/>
        <v>3</v>
      </c>
      <c r="I345" s="6">
        <f t="shared" si="11"/>
        <v>3</v>
      </c>
      <c r="J345" s="2" t="s">
        <v>31</v>
      </c>
      <c r="K345" t="s">
        <v>191</v>
      </c>
    </row>
    <row r="346" spans="1:11" x14ac:dyDescent="0.25">
      <c r="A346" s="1">
        <v>40012</v>
      </c>
      <c r="B346" s="2" t="s">
        <v>36</v>
      </c>
      <c r="C346" t="s">
        <v>514</v>
      </c>
      <c r="D346" t="s">
        <v>210</v>
      </c>
      <c r="E346" s="2">
        <v>45744</v>
      </c>
      <c r="F346" s="2" cm="1">
        <f t="array" ref="F346">_xlfn.IFS(B346="Owner Surrender",E346,B346="Stray",E346+6,B346="Stray w/identification",E346+11,B346="Bite",E346+10,B346="Other",E346+30,B346="BAS",E346+56,B346="Seized",E346)</f>
        <v>45744</v>
      </c>
      <c r="G346" s="2">
        <v>45747</v>
      </c>
      <c r="H346" s="6">
        <f t="shared" si="10"/>
        <v>3</v>
      </c>
      <c r="I346" s="6">
        <f t="shared" si="11"/>
        <v>3</v>
      </c>
      <c r="J346" s="2" t="s">
        <v>31</v>
      </c>
      <c r="K346" t="s">
        <v>519</v>
      </c>
    </row>
    <row r="347" spans="1:11" x14ac:dyDescent="0.25">
      <c r="A347" s="1">
        <v>40014</v>
      </c>
      <c r="B347" s="2" t="s">
        <v>180</v>
      </c>
      <c r="C347" t="s">
        <v>73</v>
      </c>
      <c r="D347" t="s">
        <v>208</v>
      </c>
      <c r="E347" s="2">
        <v>45744</v>
      </c>
      <c r="F347" s="2" cm="1">
        <f t="array" ref="F347">_xlfn.IFS(B347="Owner Surrender",E347,B347="Stray",E347+6,B347="Stray w/identification",E347+11,B347="Bite",E347+10,B347="Other",E347+30,B347="BAS",E347+56,B347="Seized",E347)</f>
        <v>45755</v>
      </c>
      <c r="G347" s="2">
        <v>45763</v>
      </c>
      <c r="H347" s="6">
        <f t="shared" si="10"/>
        <v>19</v>
      </c>
      <c r="I347" s="6">
        <f t="shared" si="11"/>
        <v>8</v>
      </c>
      <c r="J347" s="2" t="s">
        <v>31</v>
      </c>
    </row>
    <row r="348" spans="1:11" x14ac:dyDescent="0.25">
      <c r="A348" s="1">
        <v>40015</v>
      </c>
      <c r="B348" s="2" t="s">
        <v>36</v>
      </c>
      <c r="C348" t="s">
        <v>72</v>
      </c>
      <c r="D348" t="s">
        <v>208</v>
      </c>
      <c r="E348" s="2">
        <v>45744</v>
      </c>
      <c r="F348" s="2" cm="1">
        <f t="array" ref="F348">_xlfn.IFS(B348="Owner Surrender",E348,B348="Stray",E348+6,B348="Stray w/identification",E348+11,B348="Bite",E348+10,B348="Other",E348+30,B348="BAS",E348+56,B348="Seized",E348)</f>
        <v>45744</v>
      </c>
      <c r="G348" s="2">
        <v>45747</v>
      </c>
      <c r="H348" s="6">
        <f t="shared" si="10"/>
        <v>3</v>
      </c>
      <c r="I348" s="6">
        <f t="shared" si="11"/>
        <v>3</v>
      </c>
      <c r="J348" s="2" t="s">
        <v>31</v>
      </c>
    </row>
    <row r="349" spans="1:11" x14ac:dyDescent="0.25">
      <c r="A349" s="1">
        <v>40016</v>
      </c>
      <c r="B349" s="2" t="s">
        <v>36</v>
      </c>
      <c r="C349" t="s">
        <v>49</v>
      </c>
      <c r="D349" t="s">
        <v>208</v>
      </c>
      <c r="E349" s="2">
        <v>45744</v>
      </c>
      <c r="F349" s="2" cm="1">
        <f t="array" ref="F349">_xlfn.IFS(B349="Owner Surrender",E349,B349="Stray",E349+6,B349="Stray w/identification",E349+11,B349="Bite",E349+10,B349="Other",E349+30,B349="BAS",E349+56,B349="Seized",E349)</f>
        <v>45744</v>
      </c>
      <c r="G349" s="2">
        <v>45750</v>
      </c>
      <c r="H349" s="6">
        <f t="shared" si="10"/>
        <v>6</v>
      </c>
      <c r="I349" s="6">
        <f t="shared" si="11"/>
        <v>6</v>
      </c>
      <c r="J349" s="2" t="s">
        <v>31</v>
      </c>
    </row>
    <row r="350" spans="1:11" x14ac:dyDescent="0.25">
      <c r="A350" s="1">
        <v>40017</v>
      </c>
      <c r="B350" s="2" t="s">
        <v>36</v>
      </c>
      <c r="C350" t="s">
        <v>49</v>
      </c>
      <c r="D350" t="s">
        <v>210</v>
      </c>
      <c r="E350" s="2">
        <v>45744</v>
      </c>
      <c r="F350" s="2" cm="1">
        <f t="array" ref="F350">_xlfn.IFS(B350="Owner Surrender",E350,B350="Stray",E350+6,B350="Stray w/identification",E350+11,B350="Bite",E350+10,B350="Other",E350+30,B350="BAS",E350+56,B350="Seized",E350)</f>
        <v>45744</v>
      </c>
      <c r="G350" s="2">
        <v>45750</v>
      </c>
      <c r="H350" s="6">
        <f t="shared" si="10"/>
        <v>6</v>
      </c>
      <c r="I350" s="6">
        <f t="shared" si="11"/>
        <v>6</v>
      </c>
      <c r="J350" s="2" t="s">
        <v>11</v>
      </c>
    </row>
    <row r="351" spans="1:11" x14ac:dyDescent="0.25">
      <c r="A351" s="1">
        <v>40018</v>
      </c>
      <c r="B351" s="2" t="s">
        <v>180</v>
      </c>
      <c r="C351" t="s">
        <v>49</v>
      </c>
      <c r="D351" t="s">
        <v>209</v>
      </c>
      <c r="E351" s="2">
        <v>45745</v>
      </c>
      <c r="F351" s="2" cm="1">
        <f t="array" ref="F351">_xlfn.IFS(B351="Owner Surrender",E351,B351="Stray",E351+6,B351="Stray w/identification",E351+11,B351="Bite",E351+10,B351="Other",E351+30,B351="BAS",E351+56,B351="Seized",E351)</f>
        <v>45756</v>
      </c>
      <c r="G351" s="2">
        <v>45757</v>
      </c>
      <c r="H351" s="6">
        <f t="shared" si="10"/>
        <v>12</v>
      </c>
      <c r="I351" s="6">
        <f t="shared" si="11"/>
        <v>1</v>
      </c>
      <c r="J351" s="2" t="s">
        <v>11</v>
      </c>
      <c r="K351" t="s">
        <v>492</v>
      </c>
    </row>
    <row r="352" spans="1:11" x14ac:dyDescent="0.25">
      <c r="A352" s="1">
        <v>40019</v>
      </c>
      <c r="B352" s="2" t="s">
        <v>36</v>
      </c>
      <c r="C352" t="s">
        <v>49</v>
      </c>
      <c r="D352" t="s">
        <v>208</v>
      </c>
      <c r="E352" s="2">
        <v>45745</v>
      </c>
      <c r="F352" s="2" cm="1">
        <f t="array" ref="F352">_xlfn.IFS(B352="Owner Surrender",E352,B352="Stray",E352+6,B352="Stray w/identification",E352+11,B352="Bite",E352+10,B352="Other",E352+30,B352="BAS",E352+56,B352="Seized",E352)</f>
        <v>45745</v>
      </c>
      <c r="G352" s="2">
        <v>45761</v>
      </c>
      <c r="H352" s="6">
        <f t="shared" si="10"/>
        <v>16</v>
      </c>
      <c r="I352" s="6">
        <f t="shared" si="11"/>
        <v>16</v>
      </c>
      <c r="J352" s="2" t="s">
        <v>31</v>
      </c>
    </row>
    <row r="353" spans="1:12" x14ac:dyDescent="0.25">
      <c r="A353" s="1">
        <v>40020</v>
      </c>
      <c r="B353" s="2" t="s">
        <v>36</v>
      </c>
      <c r="C353" t="s">
        <v>140</v>
      </c>
      <c r="D353" t="s">
        <v>208</v>
      </c>
      <c r="E353" s="2">
        <v>45745</v>
      </c>
      <c r="F353" s="2" cm="1">
        <f t="array" ref="F353">_xlfn.IFS(B353="Owner Surrender",E353,B353="Stray",E353+6,B353="Stray w/identification",E353+11,B353="Bite",E353+10,B353="Other",E353+30,B353="BAS",E353+56,B353="Seized",E353)</f>
        <v>45745</v>
      </c>
      <c r="G353" s="2">
        <v>45755</v>
      </c>
      <c r="H353" s="6">
        <f t="shared" si="10"/>
        <v>10</v>
      </c>
      <c r="I353" s="6">
        <f t="shared" si="11"/>
        <v>10</v>
      </c>
      <c r="J353" s="2" t="s">
        <v>31</v>
      </c>
      <c r="K353" t="s">
        <v>538</v>
      </c>
    </row>
    <row r="354" spans="1:12" x14ac:dyDescent="0.25">
      <c r="A354" s="1">
        <v>40021</v>
      </c>
      <c r="B354" s="2" t="s">
        <v>38</v>
      </c>
      <c r="C354" t="s">
        <v>236</v>
      </c>
      <c r="D354" t="s">
        <v>208</v>
      </c>
      <c r="E354" s="2">
        <v>45745</v>
      </c>
      <c r="F354" s="2" cm="1">
        <f t="array" ref="F354">_xlfn.IFS(B354="Owner Surrender",E354,B354="Stray",E354+6,B354="Stray w/identification",E354+11,B354="Bite",E354+10,B354="Other",E354+30,B354="BAS",E354+56,B354="Seized",E354)</f>
        <v>45751</v>
      </c>
      <c r="G354" s="2">
        <v>45763</v>
      </c>
      <c r="H354" s="6">
        <f t="shared" si="10"/>
        <v>18</v>
      </c>
      <c r="I354" s="6">
        <f t="shared" si="11"/>
        <v>12</v>
      </c>
      <c r="J354" s="2" t="s">
        <v>31</v>
      </c>
      <c r="K354" t="s">
        <v>537</v>
      </c>
    </row>
    <row r="355" spans="1:12" x14ac:dyDescent="0.25">
      <c r="A355" s="3">
        <v>40024</v>
      </c>
      <c r="B355" s="2" t="s">
        <v>38</v>
      </c>
      <c r="C355" t="s">
        <v>49</v>
      </c>
      <c r="D355" t="s">
        <v>208</v>
      </c>
      <c r="E355" s="2">
        <v>45745</v>
      </c>
      <c r="F355" s="2" cm="1">
        <f t="array" ref="F355">_xlfn.IFS(B355="Owner Surrender",E355,B355="Stray",E355+6,B355="Stray w/identification",E355+11,B355="Bite",E355+10,B355="Other",E355+30,B355="BAS",E355+56,B355="Seized",E355)</f>
        <v>45751</v>
      </c>
      <c r="G355" s="2">
        <v>45850</v>
      </c>
      <c r="H355" s="6">
        <f t="shared" si="10"/>
        <v>105</v>
      </c>
      <c r="I355" s="6">
        <f t="shared" si="11"/>
        <v>99</v>
      </c>
      <c r="J355" s="2" t="s">
        <v>18</v>
      </c>
      <c r="K355" s="2" t="s">
        <v>92</v>
      </c>
      <c r="L355" s="2" t="s">
        <v>87</v>
      </c>
    </row>
    <row r="356" spans="1:12" x14ac:dyDescent="0.25">
      <c r="A356" s="1">
        <v>40025</v>
      </c>
      <c r="B356" s="2" t="s">
        <v>36</v>
      </c>
      <c r="C356" t="s">
        <v>49</v>
      </c>
      <c r="D356" t="s">
        <v>208</v>
      </c>
      <c r="E356" s="2">
        <v>45747</v>
      </c>
      <c r="F356" s="2" cm="1">
        <f t="array" ref="F356">_xlfn.IFS(B356="Owner Surrender",E356,B356="Stray",E356+6,B356="Stray w/identification",E356+11,B356="Bite",E356+10,B356="Other",E356+30,B356="BAS",E356+56,B356="Seized",E356)</f>
        <v>45747</v>
      </c>
      <c r="G356" s="2">
        <v>45750</v>
      </c>
      <c r="H356" s="6">
        <f t="shared" si="10"/>
        <v>3</v>
      </c>
      <c r="I356" s="6">
        <f t="shared" si="11"/>
        <v>3</v>
      </c>
      <c r="J356" s="2" t="s">
        <v>31</v>
      </c>
      <c r="K356" t="s">
        <v>536</v>
      </c>
    </row>
    <row r="357" spans="1:12" x14ac:dyDescent="0.25">
      <c r="A357" s="1">
        <v>40028</v>
      </c>
      <c r="B357" s="2" t="s">
        <v>38</v>
      </c>
      <c r="C357" t="s">
        <v>50</v>
      </c>
      <c r="D357" t="s">
        <v>208</v>
      </c>
      <c r="E357" s="2">
        <v>45747</v>
      </c>
      <c r="F357" s="2" cm="1">
        <f t="array" ref="F357">_xlfn.IFS(B357="Owner Surrender",E357,B357="Stray",E357+6,B357="Stray w/identification",E357+11,B357="Bite",E357+10,B357="Other",E357+30,B357="BAS",E357+56,B357="Seized",E357)</f>
        <v>45753</v>
      </c>
      <c r="G357" s="2">
        <v>45755</v>
      </c>
      <c r="H357" s="6">
        <f t="shared" si="10"/>
        <v>8</v>
      </c>
      <c r="I357" s="6">
        <f t="shared" si="11"/>
        <v>2</v>
      </c>
      <c r="J357" s="2" t="s">
        <v>31</v>
      </c>
    </row>
    <row r="358" spans="1:12" x14ac:dyDescent="0.25">
      <c r="A358" s="1">
        <v>40029</v>
      </c>
      <c r="B358" s="2" t="s">
        <v>38</v>
      </c>
      <c r="C358" t="s">
        <v>509</v>
      </c>
      <c r="D358" t="s">
        <v>208</v>
      </c>
      <c r="E358" s="2">
        <v>45747</v>
      </c>
      <c r="F358" s="2" cm="1">
        <f t="array" ref="F358">_xlfn.IFS(B358="Owner Surrender",E358,B358="Stray",E358+6,B358="Stray w/identification",E358+11,B358="Bite",E358+10,B358="Other",E358+30,B358="BAS",E358+56,B358="Seized",E358)</f>
        <v>45753</v>
      </c>
      <c r="G358" s="2">
        <v>45747</v>
      </c>
      <c r="H358" s="6">
        <f t="shared" si="10"/>
        <v>0</v>
      </c>
      <c r="I358" s="6">
        <f t="shared" si="11"/>
        <v>-6</v>
      </c>
      <c r="J358" s="2" t="s">
        <v>8</v>
      </c>
    </row>
    <row r="359" spans="1:12" x14ac:dyDescent="0.25">
      <c r="A359" s="1">
        <v>40030</v>
      </c>
      <c r="B359" s="2" t="s">
        <v>180</v>
      </c>
      <c r="C359" t="s">
        <v>109</v>
      </c>
      <c r="D359" t="s">
        <v>208</v>
      </c>
      <c r="E359" s="2">
        <v>45747</v>
      </c>
      <c r="F359" s="2" cm="1">
        <f t="array" ref="F359">_xlfn.IFS(B359="Owner Surrender",E359,B359="Stray",E359+6,B359="Stray w/identification",E359+11,B359="Bite",E359+10,B359="Other",E359+30,B359="BAS",E359+56,B359="Seized",E359)</f>
        <v>45758</v>
      </c>
      <c r="G359" s="2">
        <v>45747</v>
      </c>
      <c r="H359" s="6">
        <f t="shared" si="10"/>
        <v>0</v>
      </c>
      <c r="I359" s="6">
        <f t="shared" si="11"/>
        <v>-11</v>
      </c>
      <c r="J359" s="2" t="s">
        <v>8</v>
      </c>
    </row>
    <row r="360" spans="1:12" x14ac:dyDescent="0.25">
      <c r="A360" s="1">
        <v>40031</v>
      </c>
      <c r="B360" s="2" t="s">
        <v>38</v>
      </c>
      <c r="C360" t="s">
        <v>54</v>
      </c>
      <c r="D360" t="s">
        <v>208</v>
      </c>
      <c r="E360" s="2">
        <v>45747</v>
      </c>
      <c r="F360" s="2" cm="1">
        <f t="array" ref="F360">_xlfn.IFS(B360="Owner Surrender",E360,B360="Stray",E360+6,B360="Stray w/identification",E360+11,B360="Bite",E360+10,B360="Other",E360+30,B360="BAS",E360+56,B360="Seized",E360)</f>
        <v>45753</v>
      </c>
      <c r="G360" s="2">
        <v>45747</v>
      </c>
      <c r="H360" s="6">
        <f t="shared" si="10"/>
        <v>0</v>
      </c>
      <c r="I360" s="6">
        <f t="shared" si="11"/>
        <v>-6</v>
      </c>
      <c r="J360" s="2" t="s">
        <v>8</v>
      </c>
    </row>
    <row r="361" spans="1:12" x14ac:dyDescent="0.25">
      <c r="A361" s="1">
        <v>40033</v>
      </c>
      <c r="B361" s="2" t="s">
        <v>38</v>
      </c>
      <c r="C361" t="s">
        <v>490</v>
      </c>
      <c r="D361" t="s">
        <v>208</v>
      </c>
      <c r="E361" s="2">
        <v>45747</v>
      </c>
      <c r="F361" s="2" cm="1">
        <f t="array" ref="F361">_xlfn.IFS(B361="Owner Surrender",E361,B361="Stray",E361+6,B361="Stray w/identification",E361+11,B361="Bite",E361+10,B361="Other",E361+30,B361="BAS",E361+56,B361="Seized",E361)</f>
        <v>45753</v>
      </c>
      <c r="G361" s="2">
        <v>45761</v>
      </c>
      <c r="H361" s="6">
        <f t="shared" si="10"/>
        <v>14</v>
      </c>
      <c r="I361" s="6">
        <f t="shared" si="11"/>
        <v>8</v>
      </c>
      <c r="J361" s="2" t="s">
        <v>11</v>
      </c>
      <c r="K361" t="s">
        <v>491</v>
      </c>
    </row>
    <row r="362" spans="1:12" x14ac:dyDescent="0.25">
      <c r="A362" s="1">
        <v>40039</v>
      </c>
      <c r="B362" s="2" t="s">
        <v>38</v>
      </c>
      <c r="C362" t="s">
        <v>50</v>
      </c>
      <c r="D362" t="s">
        <v>209</v>
      </c>
      <c r="E362" s="2">
        <v>45747</v>
      </c>
      <c r="F362" s="2" cm="1">
        <f t="array" ref="F362">_xlfn.IFS(B362="Owner Surrender",E362,B362="Stray",E362+6,B362="Stray w/identification",E362+11,B362="Bite",E362+10,B362="Other",E362+30,B362="BAS",E362+56,B362="Seized",E362)</f>
        <v>45753</v>
      </c>
      <c r="G362" s="2">
        <v>45762</v>
      </c>
      <c r="H362" s="6">
        <f t="shared" si="10"/>
        <v>15</v>
      </c>
      <c r="I362" s="6">
        <f t="shared" si="11"/>
        <v>9</v>
      </c>
      <c r="J362" s="2" t="s">
        <v>11</v>
      </c>
    </row>
    <row r="363" spans="1:12" x14ac:dyDescent="0.25">
      <c r="A363" s="1">
        <v>40040</v>
      </c>
      <c r="B363" s="2" t="s">
        <v>38</v>
      </c>
      <c r="C363" t="s">
        <v>50</v>
      </c>
      <c r="D363" t="s">
        <v>209</v>
      </c>
      <c r="E363" s="2">
        <v>45747</v>
      </c>
      <c r="F363" s="2" cm="1">
        <f t="array" ref="F363">_xlfn.IFS(B363="Owner Surrender",E363,B363="Stray",E363+6,B363="Stray w/identification",E363+11,B363="Bite",E363+10,B363="Other",E363+30,B363="BAS",E363+56,B363="Seized",E363)</f>
        <v>45753</v>
      </c>
      <c r="G363" s="2">
        <v>45810</v>
      </c>
      <c r="H363" s="6">
        <f t="shared" si="10"/>
        <v>63</v>
      </c>
      <c r="I363" s="6">
        <f t="shared" si="11"/>
        <v>57</v>
      </c>
      <c r="J363" s="2" t="s">
        <v>11</v>
      </c>
    </row>
    <row r="364" spans="1:12" x14ac:dyDescent="0.25">
      <c r="A364" s="1">
        <v>40045</v>
      </c>
      <c r="B364" s="2" t="s">
        <v>180</v>
      </c>
      <c r="C364" t="s">
        <v>49</v>
      </c>
      <c r="D364" t="s">
        <v>208</v>
      </c>
      <c r="E364" s="2">
        <v>45748</v>
      </c>
      <c r="F364" s="2" cm="1">
        <f t="array" ref="F364">_xlfn.IFS(B364="Owner Surrender",E364,B364="Stray",E364+6,B364="Stray w/identification",E364+11,B364="Bite",E364+10,B364="Other",E364+30,B364="BAS",E364+56,B364="Seized",E364)</f>
        <v>45759</v>
      </c>
      <c r="G364" s="2">
        <v>45761</v>
      </c>
      <c r="H364" s="6">
        <f t="shared" si="10"/>
        <v>13</v>
      </c>
      <c r="I364" s="6">
        <f t="shared" si="11"/>
        <v>2</v>
      </c>
      <c r="J364" s="2" t="s">
        <v>31</v>
      </c>
    </row>
    <row r="365" spans="1:12" x14ac:dyDescent="0.25">
      <c r="A365" s="1">
        <v>40046</v>
      </c>
      <c r="B365" s="2" t="s">
        <v>38</v>
      </c>
      <c r="C365" t="s">
        <v>526</v>
      </c>
      <c r="D365" t="s">
        <v>209</v>
      </c>
      <c r="E365" s="2">
        <v>45748</v>
      </c>
      <c r="F365" s="2" cm="1">
        <f t="array" ref="F365">_xlfn.IFS(B365="Owner Surrender",E365,B365="Stray",E365+6,B365="Stray w/identification",E365+11,B365="Bite",E365+10,B365="Other",E365+30,B365="BAS",E365+56,B365="Seized",E365)</f>
        <v>45754</v>
      </c>
      <c r="G365" s="2">
        <v>45749</v>
      </c>
      <c r="H365" s="6">
        <f t="shared" si="10"/>
        <v>1</v>
      </c>
      <c r="I365" s="6">
        <f t="shared" si="11"/>
        <v>-5</v>
      </c>
      <c r="J365" s="2" t="s">
        <v>8</v>
      </c>
    </row>
    <row r="366" spans="1:12" x14ac:dyDescent="0.25">
      <c r="A366" s="1">
        <v>40053</v>
      </c>
      <c r="B366" s="2" t="s">
        <v>36</v>
      </c>
      <c r="C366" t="s">
        <v>56</v>
      </c>
      <c r="D366" t="s">
        <v>209</v>
      </c>
      <c r="E366" s="2">
        <v>45748</v>
      </c>
      <c r="F366" s="2" cm="1">
        <f t="array" ref="F366">_xlfn.IFS(B366="Owner Surrender",E366,B366="Stray",E366+6,B366="Stray w/identification",E366+11,B366="Bite",E366+10,B366="Other",E366+30,B366="BAS",E366+56,B366="Seized",E366)</f>
        <v>45748</v>
      </c>
      <c r="G366" s="2">
        <v>45750</v>
      </c>
      <c r="H366" s="6">
        <f t="shared" si="10"/>
        <v>2</v>
      </c>
      <c r="I366" s="6">
        <f t="shared" si="11"/>
        <v>2</v>
      </c>
      <c r="J366" s="2" t="s">
        <v>31</v>
      </c>
    </row>
    <row r="367" spans="1:12" x14ac:dyDescent="0.25">
      <c r="A367" s="1">
        <v>40054</v>
      </c>
      <c r="B367" s="2" t="s">
        <v>36</v>
      </c>
      <c r="C367" t="s">
        <v>50</v>
      </c>
      <c r="D367" t="s">
        <v>209</v>
      </c>
      <c r="E367" s="2">
        <v>45748</v>
      </c>
      <c r="F367" s="2" cm="1">
        <f t="array" ref="F367">_xlfn.IFS(B367="Owner Surrender",E367,B367="Stray",E367+6,B367="Stray w/identification",E367+11,B367="Bite",E367+10,B367="Other",E367+30,B367="BAS",E367+56,B367="Seized",E367)</f>
        <v>45748</v>
      </c>
      <c r="G367" s="2">
        <v>45750</v>
      </c>
      <c r="H367" s="6">
        <f t="shared" si="10"/>
        <v>2</v>
      </c>
      <c r="I367" s="6">
        <f t="shared" si="11"/>
        <v>2</v>
      </c>
      <c r="J367" s="2" t="s">
        <v>31</v>
      </c>
    </row>
    <row r="368" spans="1:12" x14ac:dyDescent="0.25">
      <c r="A368" s="1">
        <v>40063</v>
      </c>
      <c r="B368" s="2" t="s">
        <v>180</v>
      </c>
      <c r="C368" t="s">
        <v>50</v>
      </c>
      <c r="D368" t="s">
        <v>208</v>
      </c>
      <c r="E368" s="2">
        <v>45748</v>
      </c>
      <c r="F368" s="2" cm="1">
        <f t="array" ref="F368">_xlfn.IFS(B368="Owner Surrender",E368,B368="Stray",E368+6,B368="Stray w/identification",E368+11,B368="Bite",E368+10,B368="Other",E368+30,B368="BAS",E368+56,B368="Seized",E368)</f>
        <v>45759</v>
      </c>
      <c r="G368" s="2">
        <v>45748</v>
      </c>
      <c r="H368" s="6">
        <f t="shared" si="10"/>
        <v>0</v>
      </c>
      <c r="I368" s="6">
        <f t="shared" si="11"/>
        <v>-11</v>
      </c>
      <c r="J368" s="2" t="s">
        <v>8</v>
      </c>
    </row>
    <row r="369" spans="1:12" x14ac:dyDescent="0.25">
      <c r="A369" s="29">
        <v>40068</v>
      </c>
      <c r="B369" s="16" t="s">
        <v>36</v>
      </c>
      <c r="C369" s="10" t="s">
        <v>56</v>
      </c>
      <c r="D369" s="10" t="s">
        <v>208</v>
      </c>
      <c r="E369" s="16">
        <v>45749</v>
      </c>
      <c r="F369" s="16" cm="1">
        <f t="array" ref="F369">_xlfn.IFS(B369="Owner Surrender",E369,B369="Stray",E369+6,B369="Stray w/identification",E369+11,B369="Bite",E369+10,B369="Other",E369+30,B369="BAS",E369+56,B369="Seized",E369)</f>
        <v>45749</v>
      </c>
      <c r="G369" s="16"/>
      <c r="H369" s="30">
        <f t="shared" si="10"/>
        <v>-45749</v>
      </c>
      <c r="I369" s="30">
        <f t="shared" si="11"/>
        <v>-45749</v>
      </c>
      <c r="J369" s="16" t="s">
        <v>21</v>
      </c>
      <c r="K369" s="10" t="s">
        <v>528</v>
      </c>
      <c r="L369" s="10"/>
    </row>
    <row r="370" spans="1:12" x14ac:dyDescent="0.25">
      <c r="A370" s="1">
        <v>40069</v>
      </c>
      <c r="B370" s="2" t="s">
        <v>36</v>
      </c>
      <c r="C370" t="s">
        <v>56</v>
      </c>
      <c r="D370" t="s">
        <v>208</v>
      </c>
      <c r="E370" s="2">
        <v>45749</v>
      </c>
      <c r="F370" s="2" cm="1">
        <f t="array" ref="F370">_xlfn.IFS(B370="Owner Surrender",E370,B370="Stray",E370+6,B370="Stray w/identification",E370+11,B370="Bite",E370+10,B370="Other",E370+30,B370="BAS",E370+56,B370="Seized",E370)</f>
        <v>45749</v>
      </c>
      <c r="G370" s="2">
        <v>45755</v>
      </c>
      <c r="H370" s="6">
        <f t="shared" si="10"/>
        <v>6</v>
      </c>
      <c r="I370" s="6">
        <f t="shared" si="11"/>
        <v>6</v>
      </c>
      <c r="J370" s="2" t="s">
        <v>31</v>
      </c>
      <c r="K370" t="s">
        <v>125</v>
      </c>
    </row>
    <row r="371" spans="1:12" x14ac:dyDescent="0.25">
      <c r="A371" s="1">
        <v>40070</v>
      </c>
      <c r="B371" s="2" t="s">
        <v>38</v>
      </c>
      <c r="C371" t="s">
        <v>476</v>
      </c>
      <c r="D371" t="s">
        <v>208</v>
      </c>
      <c r="E371" s="2">
        <v>45750</v>
      </c>
      <c r="F371" s="2" cm="1">
        <f t="array" ref="F371">_xlfn.IFS(B371="Owner Surrender",E371,B371="Stray",E371+6,B371="Stray w/identification",E371+11,B371="Bite",E371+10,B371="Other",E371+30,B371="BAS",E371+56,B371="Seized",E371)</f>
        <v>45756</v>
      </c>
      <c r="G371" s="2">
        <v>45763</v>
      </c>
      <c r="H371" s="6">
        <f t="shared" si="10"/>
        <v>13</v>
      </c>
      <c r="I371" s="6">
        <f t="shared" si="11"/>
        <v>7</v>
      </c>
      <c r="J371" s="2" t="s">
        <v>8</v>
      </c>
    </row>
    <row r="372" spans="1:12" x14ac:dyDescent="0.25">
      <c r="A372" s="1">
        <v>40071</v>
      </c>
      <c r="B372" s="2" t="s">
        <v>38</v>
      </c>
      <c r="C372" t="s">
        <v>523</v>
      </c>
      <c r="D372" t="s">
        <v>208</v>
      </c>
      <c r="E372" s="2">
        <v>45750</v>
      </c>
      <c r="F372" s="2" cm="1">
        <f t="array" ref="F372">_xlfn.IFS(B372="Owner Surrender",E372,B372="Stray",E372+6,B372="Stray w/identification",E372+11,B372="Bite",E372+10,B372="Other",E372+30,B372="BAS",E372+56,B372="Seized",E372)</f>
        <v>45756</v>
      </c>
      <c r="G372" s="2">
        <v>45754</v>
      </c>
      <c r="H372" s="6">
        <f t="shared" si="10"/>
        <v>4</v>
      </c>
      <c r="I372" s="6">
        <f t="shared" si="11"/>
        <v>-2</v>
      </c>
      <c r="J372" s="2" t="s">
        <v>11</v>
      </c>
    </row>
    <row r="373" spans="1:12" x14ac:dyDescent="0.25">
      <c r="A373" s="1">
        <v>40073</v>
      </c>
      <c r="B373" s="2" t="s">
        <v>36</v>
      </c>
      <c r="C373" t="s">
        <v>56</v>
      </c>
      <c r="D373" t="s">
        <v>210</v>
      </c>
      <c r="E373" s="2">
        <v>45750</v>
      </c>
      <c r="F373" s="2" cm="1">
        <f t="array" ref="F373">_xlfn.IFS(B373="Owner Surrender",E373,B373="Stray",E373+6,B373="Stray w/identification",E373+11,B373="Bite",E373+10,B373="Other",E373+30,B373="BAS",E373+56,B373="Seized",E373)</f>
        <v>45750</v>
      </c>
      <c r="G373" s="2">
        <v>45790</v>
      </c>
      <c r="H373" s="6">
        <f t="shared" si="10"/>
        <v>40</v>
      </c>
      <c r="I373" s="6">
        <f t="shared" si="11"/>
        <v>40</v>
      </c>
      <c r="J373" s="2" t="s">
        <v>31</v>
      </c>
    </row>
    <row r="374" spans="1:12" x14ac:dyDescent="0.25">
      <c r="A374" s="1">
        <v>40074</v>
      </c>
      <c r="B374" s="2" t="s">
        <v>38</v>
      </c>
      <c r="C374" t="s">
        <v>55</v>
      </c>
      <c r="D374" t="s">
        <v>210</v>
      </c>
      <c r="E374" s="2">
        <v>45750</v>
      </c>
      <c r="F374" s="2" cm="1">
        <f t="array" ref="F374">_xlfn.IFS(B374="Owner Surrender",E374,B374="Stray",E374+6,B374="Stray w/identification",E374+11,B374="Bite",E374+10,B374="Other",E374+30,B374="BAS",E374+56,B374="Seized",E374)</f>
        <v>45756</v>
      </c>
      <c r="G374" s="2">
        <v>45778</v>
      </c>
      <c r="H374" s="6">
        <f t="shared" si="10"/>
        <v>28</v>
      </c>
      <c r="I374" s="6">
        <f t="shared" si="11"/>
        <v>22</v>
      </c>
      <c r="J374" s="2" t="s">
        <v>11</v>
      </c>
    </row>
    <row r="375" spans="1:12" x14ac:dyDescent="0.25">
      <c r="A375" s="1">
        <v>40077</v>
      </c>
      <c r="B375" s="2" t="s">
        <v>36</v>
      </c>
      <c r="C375" t="s">
        <v>109</v>
      </c>
      <c r="D375" t="s">
        <v>209</v>
      </c>
      <c r="E375" s="2">
        <v>45751</v>
      </c>
      <c r="F375" s="2" cm="1">
        <f t="array" ref="F375">_xlfn.IFS(B375="Owner Surrender",E375,B375="Stray",E375+6,B375="Stray w/identification",E375+11,B375="Bite",E375+10,B375="Other",E375+30,B375="BAS",E375+56,B375="Seized",E375)</f>
        <v>45751</v>
      </c>
      <c r="G375" s="2">
        <v>45765</v>
      </c>
      <c r="H375" s="6">
        <f t="shared" si="10"/>
        <v>14</v>
      </c>
      <c r="I375" s="6">
        <f t="shared" si="11"/>
        <v>14</v>
      </c>
      <c r="J375" s="2" t="s">
        <v>11</v>
      </c>
    </row>
    <row r="376" spans="1:12" x14ac:dyDescent="0.25">
      <c r="A376" s="1">
        <v>40078</v>
      </c>
      <c r="B376" s="2" t="s">
        <v>36</v>
      </c>
      <c r="C376" t="s">
        <v>76</v>
      </c>
      <c r="D376" t="s">
        <v>209</v>
      </c>
      <c r="E376" s="2">
        <v>45751</v>
      </c>
      <c r="F376" s="2" cm="1">
        <f t="array" ref="F376">_xlfn.IFS(B376="Owner Surrender",E376,B376="Stray",E376+6,B376="Stray w/identification",E376+11,B376="Bite",E376+10,B376="Other",E376+30,B376="BAS",E376+56,B376="Seized",E376)</f>
        <v>45751</v>
      </c>
      <c r="G376" s="2">
        <v>45757</v>
      </c>
      <c r="H376" s="6">
        <f t="shared" si="10"/>
        <v>6</v>
      </c>
      <c r="I376" s="6">
        <f t="shared" si="11"/>
        <v>6</v>
      </c>
      <c r="J376" s="2" t="s">
        <v>18</v>
      </c>
    </row>
    <row r="377" spans="1:12" x14ac:dyDescent="0.25">
      <c r="A377" s="1">
        <v>40080</v>
      </c>
      <c r="B377" s="2" t="s">
        <v>38</v>
      </c>
      <c r="C377" t="s">
        <v>52</v>
      </c>
      <c r="D377" t="s">
        <v>208</v>
      </c>
      <c r="E377" s="2">
        <v>45752</v>
      </c>
      <c r="F377" s="2" cm="1">
        <f t="array" ref="F377">_xlfn.IFS(B377="Owner Surrender",E377,B377="Stray",E377+6,B377="Stray w/identification",E377+11,B377="Bite",E377+10,B377="Other",E377+30,B377="BAS",E377+56,B377="Seized",E377)</f>
        <v>45758</v>
      </c>
      <c r="G377" s="2">
        <v>45761</v>
      </c>
      <c r="H377" s="6">
        <f t="shared" si="10"/>
        <v>9</v>
      </c>
      <c r="I377" s="6">
        <f t="shared" si="11"/>
        <v>3</v>
      </c>
      <c r="J377" s="2" t="s">
        <v>31</v>
      </c>
    </row>
    <row r="378" spans="1:12" x14ac:dyDescent="0.25">
      <c r="A378" s="1">
        <v>40081</v>
      </c>
      <c r="B378" s="2" t="s">
        <v>38</v>
      </c>
      <c r="C378" t="s">
        <v>50</v>
      </c>
      <c r="D378" t="s">
        <v>209</v>
      </c>
      <c r="E378" s="2">
        <v>45753</v>
      </c>
      <c r="F378" s="2" cm="1">
        <f t="array" ref="F378">_xlfn.IFS(B378="Owner Surrender",E378,B378="Stray",E378+6,B378="Stray w/identification",E378+11,B378="Bite",E378+10,B378="Other",E378+30,B378="BAS",E378+56,B378="Seized",E378)</f>
        <v>45759</v>
      </c>
      <c r="G378" s="2">
        <v>45763</v>
      </c>
      <c r="H378" s="6">
        <f t="shared" si="10"/>
        <v>10</v>
      </c>
      <c r="I378" s="6">
        <f t="shared" si="11"/>
        <v>4</v>
      </c>
      <c r="J378" s="2" t="s">
        <v>31</v>
      </c>
    </row>
    <row r="379" spans="1:12" x14ac:dyDescent="0.25">
      <c r="A379" s="1">
        <v>40083</v>
      </c>
      <c r="B379" s="2" t="s">
        <v>38</v>
      </c>
      <c r="C379" t="s">
        <v>50</v>
      </c>
      <c r="D379" t="s">
        <v>209</v>
      </c>
      <c r="E379" s="2">
        <v>45753</v>
      </c>
      <c r="F379" s="2" cm="1">
        <f t="array" ref="F379">_xlfn.IFS(B379="Owner Surrender",E379,B379="Stray",E379+6,B379="Stray w/identification",E379+11,B379="Bite",E379+10,B379="Other",E379+30,B379="BAS",E379+56,B379="Seized",E379)</f>
        <v>45759</v>
      </c>
      <c r="G379" s="2">
        <v>45763</v>
      </c>
      <c r="H379" s="6">
        <f t="shared" si="10"/>
        <v>10</v>
      </c>
      <c r="I379" s="6">
        <f t="shared" si="11"/>
        <v>4</v>
      </c>
      <c r="J379" s="2" t="s">
        <v>31</v>
      </c>
    </row>
    <row r="380" spans="1:12" x14ac:dyDescent="0.25">
      <c r="A380" s="1">
        <v>40084</v>
      </c>
      <c r="B380" s="2" t="s">
        <v>38</v>
      </c>
      <c r="C380" t="s">
        <v>509</v>
      </c>
      <c r="D380" t="s">
        <v>208</v>
      </c>
      <c r="E380" s="2">
        <v>45753</v>
      </c>
      <c r="F380" s="2" cm="1">
        <f t="array" ref="F380">_xlfn.IFS(B380="Owner Surrender",E380,B380="Stray",E380+6,B380="Stray w/identification",E380+11,B380="Bite",E380+10,B380="Other",E380+30,B380="BAS",E380+56,B380="Seized",E380)</f>
        <v>45759</v>
      </c>
      <c r="G380" s="2">
        <v>45764</v>
      </c>
      <c r="H380" s="6">
        <f t="shared" si="10"/>
        <v>11</v>
      </c>
      <c r="I380" s="6">
        <f t="shared" si="11"/>
        <v>5</v>
      </c>
      <c r="J380" s="2" t="s">
        <v>11</v>
      </c>
    </row>
    <row r="381" spans="1:12" x14ac:dyDescent="0.25">
      <c r="A381" s="1">
        <v>40085</v>
      </c>
      <c r="B381" s="2" t="s">
        <v>38</v>
      </c>
      <c r="C381" t="s">
        <v>509</v>
      </c>
      <c r="D381" t="s">
        <v>208</v>
      </c>
      <c r="E381" s="2">
        <v>45753</v>
      </c>
      <c r="F381" s="2" cm="1">
        <f t="array" ref="F381">_xlfn.IFS(B381="Owner Surrender",E381,B381="Stray",E381+6,B381="Stray w/identification",E381+11,B381="Bite",E381+10,B381="Other",E381+30,B381="BAS",E381+56,B381="Seized",E381)</f>
        <v>45759</v>
      </c>
      <c r="G381" s="2">
        <v>45769</v>
      </c>
      <c r="H381" s="6">
        <f t="shared" si="10"/>
        <v>16</v>
      </c>
      <c r="I381" s="6">
        <f t="shared" si="11"/>
        <v>10</v>
      </c>
      <c r="J381" s="2" t="s">
        <v>11</v>
      </c>
    </row>
    <row r="382" spans="1:12" x14ac:dyDescent="0.25">
      <c r="A382" s="1">
        <v>40086</v>
      </c>
      <c r="B382" s="2" t="s">
        <v>38</v>
      </c>
      <c r="C382" t="s">
        <v>49</v>
      </c>
      <c r="D382" t="s">
        <v>209</v>
      </c>
      <c r="E382" s="2">
        <v>45754</v>
      </c>
      <c r="F382" s="2" cm="1">
        <f t="array" ref="F382">_xlfn.IFS(B382="Owner Surrender",E382,B382="Stray",E382+6,B382="Stray w/identification",E382+11,B382="Bite",E382+10,B382="Other",E382+30,B382="BAS",E382+56,B382="Seized",E382)</f>
        <v>45760</v>
      </c>
      <c r="G382" s="2">
        <v>45765</v>
      </c>
      <c r="H382" s="6">
        <f t="shared" si="10"/>
        <v>11</v>
      </c>
      <c r="I382" s="6">
        <f t="shared" si="11"/>
        <v>5</v>
      </c>
      <c r="J382" s="2" t="s">
        <v>11</v>
      </c>
    </row>
    <row r="383" spans="1:12" x14ac:dyDescent="0.25">
      <c r="A383" s="1">
        <v>40087</v>
      </c>
      <c r="B383" s="2" t="s">
        <v>180</v>
      </c>
      <c r="C383" t="s">
        <v>76</v>
      </c>
      <c r="D383" t="s">
        <v>208</v>
      </c>
      <c r="E383" s="2">
        <v>45754</v>
      </c>
      <c r="F383" s="2" cm="1">
        <f t="array" ref="F383">_xlfn.IFS(B383="Owner Surrender",E383,B383="Stray",E383+6,B383="Stray w/identification",E383+11,B383="Bite",E383+10,B383="Other",E383+30,B383="BAS",E383+56,B383="Seized",E383)</f>
        <v>45765</v>
      </c>
      <c r="G383" s="2">
        <v>45768</v>
      </c>
      <c r="H383" s="6">
        <f t="shared" si="10"/>
        <v>14</v>
      </c>
      <c r="I383" s="6">
        <f t="shared" si="11"/>
        <v>3</v>
      </c>
      <c r="J383" s="2" t="s">
        <v>31</v>
      </c>
    </row>
    <row r="384" spans="1:12" x14ac:dyDescent="0.25">
      <c r="A384" s="1">
        <v>40088</v>
      </c>
      <c r="B384" s="2" t="s">
        <v>36</v>
      </c>
      <c r="C384" t="s">
        <v>90</v>
      </c>
      <c r="D384" t="s">
        <v>208</v>
      </c>
      <c r="E384" s="2">
        <v>45754</v>
      </c>
      <c r="F384" s="2" cm="1">
        <f t="array" ref="F384">_xlfn.IFS(B384="Owner Surrender",E384,B384="Stray",E384+6,B384="Stray w/identification",E384+11,B384="Bite",E384+10,B384="Other",E384+30,B384="BAS",E384+56,B384="Seized",E384)</f>
        <v>45754</v>
      </c>
      <c r="G384" s="2">
        <v>45763</v>
      </c>
      <c r="H384" s="6">
        <f t="shared" si="10"/>
        <v>9</v>
      </c>
      <c r="I384" s="6">
        <f t="shared" si="11"/>
        <v>9</v>
      </c>
      <c r="J384" s="2" t="s">
        <v>31</v>
      </c>
    </row>
    <row r="385" spans="1:12" x14ac:dyDescent="0.25">
      <c r="A385" s="29">
        <v>40089</v>
      </c>
      <c r="B385" s="16" t="s">
        <v>36</v>
      </c>
      <c r="C385" s="10" t="s">
        <v>49</v>
      </c>
      <c r="D385" s="10" t="s">
        <v>208</v>
      </c>
      <c r="E385" s="16">
        <v>45754</v>
      </c>
      <c r="F385" s="16" cm="1">
        <f t="array" ref="F385">_xlfn.IFS(B385="Owner Surrender",E385,B385="Stray",E385+6,B385="Stray w/identification",E385+11,B385="Bite",E385+10,B385="Other",E385+30,B385="BAS",E385+56,B385="Seized",E385)</f>
        <v>45754</v>
      </c>
      <c r="G385" s="16"/>
      <c r="H385" s="30">
        <f t="shared" si="10"/>
        <v>-45754</v>
      </c>
      <c r="I385" s="30">
        <f t="shared" si="11"/>
        <v>-45754</v>
      </c>
      <c r="J385" s="16" t="s">
        <v>21</v>
      </c>
      <c r="K385" s="10"/>
      <c r="L385" s="10"/>
    </row>
    <row r="386" spans="1:12" x14ac:dyDescent="0.25">
      <c r="A386" s="1">
        <v>40090</v>
      </c>
      <c r="B386" s="2" t="s">
        <v>61</v>
      </c>
      <c r="C386" t="s">
        <v>50</v>
      </c>
      <c r="D386" t="s">
        <v>208</v>
      </c>
      <c r="E386" s="2">
        <v>45754</v>
      </c>
      <c r="F386" s="2" cm="1">
        <f t="array" ref="F386">_xlfn.IFS(B386="Owner Surrender",E386,B386="Stray",E386+6,B386="Stray w/identification",E386+11,B386="Bite",E386+10,B386="Other",E386+30,B386="BAS",E386+56,B386="Seized",E386)</f>
        <v>45784</v>
      </c>
      <c r="G386" s="2">
        <v>45755</v>
      </c>
      <c r="H386" s="6">
        <f t="shared" si="10"/>
        <v>1</v>
      </c>
      <c r="I386" s="6">
        <f t="shared" si="11"/>
        <v>-29</v>
      </c>
      <c r="J386" s="2" t="s">
        <v>8</v>
      </c>
      <c r="K386" t="s">
        <v>461</v>
      </c>
    </row>
    <row r="387" spans="1:12" x14ac:dyDescent="0.25">
      <c r="A387" s="1">
        <v>40092</v>
      </c>
      <c r="B387" s="2" t="s">
        <v>38</v>
      </c>
      <c r="C387" t="s">
        <v>49</v>
      </c>
      <c r="D387" t="s">
        <v>208</v>
      </c>
      <c r="E387" s="2">
        <v>45754</v>
      </c>
      <c r="F387" s="2" cm="1">
        <f t="array" ref="F387">_xlfn.IFS(B387="Owner Surrender",E387,B387="Stray",E387+6,B387="Stray w/identification",E387+11,B387="Bite",E387+10,B387="Other",E387+30,B387="BAS",E387+56,B387="Seized",E387)</f>
        <v>45760</v>
      </c>
      <c r="G387" s="2">
        <v>45755</v>
      </c>
      <c r="H387" s="6">
        <f t="shared" ref="H387:H450" si="12">+G387-E387</f>
        <v>1</v>
      </c>
      <c r="I387" s="6">
        <f t="shared" ref="I387:I450" si="13">G387-F387</f>
        <v>-5</v>
      </c>
      <c r="J387" s="2" t="s">
        <v>8</v>
      </c>
    </row>
    <row r="388" spans="1:12" x14ac:dyDescent="0.25">
      <c r="A388" s="1">
        <v>40093</v>
      </c>
      <c r="B388" s="2" t="s">
        <v>38</v>
      </c>
      <c r="C388" t="s">
        <v>49</v>
      </c>
      <c r="D388" t="s">
        <v>208</v>
      </c>
      <c r="E388" s="2">
        <v>45755</v>
      </c>
      <c r="F388" s="2" cm="1">
        <f t="array" ref="F388">_xlfn.IFS(B388="Owner Surrender",E388,B388="Stray",E388+6,B388="Stray w/identification",E388+11,B388="Bite",E388+10,B388="Other",E388+30,B388="BAS",E388+56,B388="Seized",E388)</f>
        <v>45761</v>
      </c>
      <c r="G388" s="2">
        <v>45756</v>
      </c>
      <c r="H388" s="6">
        <f t="shared" si="12"/>
        <v>1</v>
      </c>
      <c r="I388" s="6">
        <f t="shared" si="13"/>
        <v>-5</v>
      </c>
      <c r="J388" s="2" t="s">
        <v>8</v>
      </c>
    </row>
    <row r="389" spans="1:12" x14ac:dyDescent="0.25">
      <c r="A389" s="1">
        <v>40094</v>
      </c>
      <c r="B389" s="2" t="s">
        <v>38</v>
      </c>
      <c r="C389" t="s">
        <v>49</v>
      </c>
      <c r="D389" t="s">
        <v>209</v>
      </c>
      <c r="E389" s="2">
        <v>45756</v>
      </c>
      <c r="F389" s="2" cm="1">
        <f t="array" ref="F389">_xlfn.IFS(B389="Owner Surrender",E389,B389="Stray",E389+6,B389="Stray w/identification",E389+11,B389="Bite",E389+10,B389="Other",E389+30,B389="BAS",E389+56,B389="Seized",E389)</f>
        <v>45762</v>
      </c>
      <c r="G389" s="2">
        <v>45797</v>
      </c>
      <c r="H389" s="6">
        <f t="shared" si="12"/>
        <v>41</v>
      </c>
      <c r="I389" s="6">
        <f t="shared" si="13"/>
        <v>35</v>
      </c>
      <c r="J389" s="2" t="s">
        <v>31</v>
      </c>
    </row>
    <row r="390" spans="1:12" x14ac:dyDescent="0.25">
      <c r="A390" s="1">
        <v>40096</v>
      </c>
      <c r="B390" s="2" t="s">
        <v>38</v>
      </c>
      <c r="C390" t="s">
        <v>50</v>
      </c>
      <c r="D390" t="s">
        <v>209</v>
      </c>
      <c r="E390" s="2">
        <v>45757</v>
      </c>
      <c r="F390" s="2" cm="1">
        <f t="array" ref="F390">_xlfn.IFS(B390="Owner Surrender",E390,B390="Stray",E390+6,B390="Stray w/identification",E390+11,B390="Bite",E390+10,B390="Other",E390+30,B390="BAS",E390+56,B390="Seized",E390)</f>
        <v>45763</v>
      </c>
      <c r="G390" s="2">
        <v>45768</v>
      </c>
      <c r="H390" s="6">
        <f t="shared" si="12"/>
        <v>11</v>
      </c>
      <c r="I390" s="6">
        <f t="shared" si="13"/>
        <v>5</v>
      </c>
      <c r="J390" s="2" t="s">
        <v>31</v>
      </c>
    </row>
    <row r="391" spans="1:12" x14ac:dyDescent="0.25">
      <c r="A391" s="1">
        <v>40097</v>
      </c>
      <c r="B391" s="2" t="s">
        <v>38</v>
      </c>
      <c r="C391" t="s">
        <v>50</v>
      </c>
      <c r="D391" t="s">
        <v>209</v>
      </c>
      <c r="E391" s="2">
        <v>45757</v>
      </c>
      <c r="F391" s="2" cm="1">
        <f t="array" ref="F391">_xlfn.IFS(B391="Owner Surrender",E391,B391="Stray",E391+6,B391="Stray w/identification",E391+11,B391="Bite",E391+10,B391="Other",E391+30,B391="BAS",E391+56,B391="Seized",E391)</f>
        <v>45763</v>
      </c>
      <c r="G391" s="2">
        <v>45768</v>
      </c>
      <c r="H391" s="6">
        <f t="shared" si="12"/>
        <v>11</v>
      </c>
      <c r="I391" s="6">
        <f t="shared" si="13"/>
        <v>5</v>
      </c>
      <c r="J391" s="2" t="s">
        <v>31</v>
      </c>
    </row>
    <row r="392" spans="1:12" x14ac:dyDescent="0.25">
      <c r="A392" s="1">
        <v>40099</v>
      </c>
      <c r="B392" s="2" t="s">
        <v>36</v>
      </c>
      <c r="C392" t="s">
        <v>50</v>
      </c>
      <c r="D392" t="s">
        <v>208</v>
      </c>
      <c r="E392" s="2">
        <v>45757</v>
      </c>
      <c r="F392" s="2" cm="1">
        <f t="array" ref="F392">_xlfn.IFS(B392="Owner Surrender",E392,B392="Stray",E392+6,B392="Stray w/identification",E392+11,B392="Bite",E392+10,B392="Other",E392+30,B392="BAS",E392+56,B392="Seized",E392)</f>
        <v>45757</v>
      </c>
      <c r="G392" s="2">
        <v>45761</v>
      </c>
      <c r="H392" s="6">
        <f t="shared" si="12"/>
        <v>4</v>
      </c>
      <c r="I392" s="6">
        <f t="shared" si="13"/>
        <v>4</v>
      </c>
      <c r="J392" s="2" t="s">
        <v>31</v>
      </c>
    </row>
    <row r="393" spans="1:12" x14ac:dyDescent="0.25">
      <c r="A393" s="1">
        <v>40100</v>
      </c>
      <c r="B393" s="2" t="s">
        <v>36</v>
      </c>
      <c r="C393" t="s">
        <v>422</v>
      </c>
      <c r="D393" t="s">
        <v>208</v>
      </c>
      <c r="E393" s="2">
        <v>45757</v>
      </c>
      <c r="F393" s="2" cm="1">
        <f t="array" ref="F393">_xlfn.IFS(B393="Owner Surrender",E393,B393="Stray",E393+6,B393="Stray w/identification",E393+11,B393="Bite",E393+10,B393="Other",E393+30,B393="BAS",E393+56,B393="Seized",E393)</f>
        <v>45757</v>
      </c>
      <c r="G393" s="2">
        <v>45761</v>
      </c>
      <c r="H393" s="6">
        <f t="shared" si="12"/>
        <v>4</v>
      </c>
      <c r="I393" s="6">
        <f t="shared" si="13"/>
        <v>4</v>
      </c>
      <c r="J393" s="2" t="s">
        <v>31</v>
      </c>
    </row>
    <row r="394" spans="1:12" x14ac:dyDescent="0.25">
      <c r="A394" s="1">
        <v>40102</v>
      </c>
      <c r="B394" s="2" t="s">
        <v>38</v>
      </c>
      <c r="C394" t="s">
        <v>476</v>
      </c>
      <c r="D394" t="s">
        <v>210</v>
      </c>
      <c r="E394" s="2">
        <v>45756</v>
      </c>
      <c r="F394" s="2" cm="1">
        <f t="array" ref="F394">_xlfn.IFS(B394="Owner Surrender",E394,B394="Stray",E394+6,B394="Stray w/identification",E394+11,B394="Bite",E394+10,B394="Other",E394+30,B394="BAS",E394+56,B394="Seized",E394)</f>
        <v>45762</v>
      </c>
      <c r="G394" s="2">
        <v>45776</v>
      </c>
      <c r="H394" s="6">
        <f t="shared" si="12"/>
        <v>20</v>
      </c>
      <c r="I394" s="6">
        <f t="shared" si="13"/>
        <v>14</v>
      </c>
      <c r="J394" s="2" t="s">
        <v>31</v>
      </c>
      <c r="K394" t="s">
        <v>139</v>
      </c>
    </row>
    <row r="395" spans="1:12" x14ac:dyDescent="0.25">
      <c r="A395" s="1">
        <v>40105</v>
      </c>
      <c r="B395" s="2" t="s">
        <v>36</v>
      </c>
      <c r="C395" t="s">
        <v>49</v>
      </c>
      <c r="D395" t="s">
        <v>208</v>
      </c>
      <c r="E395" s="2">
        <v>45758</v>
      </c>
      <c r="F395" s="2" cm="1">
        <f t="array" ref="F395">_xlfn.IFS(B395="Owner Surrender",E395,B395="Stray",E395+6,B395="Stray w/identification",E395+11,B395="Bite",E395+10,B395="Other",E395+30,B395="BAS",E395+56,B395="Seized",E395)</f>
        <v>45758</v>
      </c>
      <c r="G395" s="2">
        <v>45772</v>
      </c>
      <c r="H395" s="6">
        <f t="shared" si="12"/>
        <v>14</v>
      </c>
      <c r="I395" s="6">
        <f t="shared" si="13"/>
        <v>14</v>
      </c>
      <c r="J395" s="2" t="s">
        <v>31</v>
      </c>
      <c r="K395" t="s">
        <v>333</v>
      </c>
    </row>
    <row r="396" spans="1:12" x14ac:dyDescent="0.25">
      <c r="A396" s="1">
        <v>40106</v>
      </c>
      <c r="B396" s="2" t="s">
        <v>36</v>
      </c>
      <c r="C396" t="s">
        <v>524</v>
      </c>
      <c r="D396" t="s">
        <v>208</v>
      </c>
      <c r="E396" s="2">
        <v>45758</v>
      </c>
      <c r="F396" s="2" cm="1">
        <f t="array" ref="F396">_xlfn.IFS(B396="Owner Surrender",E396,B396="Stray",E396+6,B396="Stray w/identification",E396+11,B396="Bite",E396+10,B396="Other",E396+30,B396="BAS",E396+56,B396="Seized",E396)</f>
        <v>45758</v>
      </c>
      <c r="G396" s="2">
        <v>45797</v>
      </c>
      <c r="H396" s="6">
        <f t="shared" si="12"/>
        <v>39</v>
      </c>
      <c r="I396" s="6">
        <f t="shared" si="13"/>
        <v>39</v>
      </c>
      <c r="J396" s="2" t="s">
        <v>18</v>
      </c>
    </row>
    <row r="397" spans="1:12" x14ac:dyDescent="0.25">
      <c r="A397" s="1">
        <v>40107</v>
      </c>
      <c r="B397" s="2" t="s">
        <v>36</v>
      </c>
      <c r="C397" t="s">
        <v>524</v>
      </c>
      <c r="D397" t="s">
        <v>209</v>
      </c>
      <c r="E397" s="2">
        <v>45758</v>
      </c>
      <c r="F397" s="2" cm="1">
        <f t="array" ref="F397">_xlfn.IFS(B397="Owner Surrender",E397,B397="Stray",E397+6,B397="Stray w/identification",E397+11,B397="Bite",E397+10,B397="Other",E397+30,B397="BAS",E397+56,B397="Seized",E397)</f>
        <v>45758</v>
      </c>
      <c r="G397" s="2">
        <v>45775</v>
      </c>
      <c r="H397" s="6">
        <f t="shared" si="12"/>
        <v>17</v>
      </c>
      <c r="I397" s="6">
        <f t="shared" si="13"/>
        <v>17</v>
      </c>
      <c r="J397" s="2" t="s">
        <v>11</v>
      </c>
    </row>
    <row r="398" spans="1:12" x14ac:dyDescent="0.25">
      <c r="A398" s="1">
        <v>40108</v>
      </c>
      <c r="B398" s="2" t="s">
        <v>36</v>
      </c>
      <c r="C398" t="s">
        <v>524</v>
      </c>
      <c r="D398" t="s">
        <v>209</v>
      </c>
      <c r="E398" s="2">
        <v>45758</v>
      </c>
      <c r="F398" s="2" cm="1">
        <f t="array" ref="F398">_xlfn.IFS(B398="Owner Surrender",E398,B398="Stray",E398+6,B398="Stray w/identification",E398+11,B398="Bite",E398+10,B398="Other",E398+30,B398="BAS",E398+56,B398="Seized",E398)</f>
        <v>45758</v>
      </c>
      <c r="G398" s="2">
        <v>45796</v>
      </c>
      <c r="H398" s="6">
        <f t="shared" si="12"/>
        <v>38</v>
      </c>
      <c r="I398" s="6">
        <f t="shared" si="13"/>
        <v>38</v>
      </c>
      <c r="J398" s="2" t="s">
        <v>11</v>
      </c>
    </row>
    <row r="399" spans="1:12" x14ac:dyDescent="0.25">
      <c r="A399" s="1">
        <v>40109</v>
      </c>
      <c r="B399" s="2" t="s">
        <v>36</v>
      </c>
      <c r="C399" t="s">
        <v>524</v>
      </c>
      <c r="D399" t="s">
        <v>209</v>
      </c>
      <c r="E399" s="2">
        <v>45758</v>
      </c>
      <c r="F399" s="2" cm="1">
        <f t="array" ref="F399">_xlfn.IFS(B399="Owner Surrender",E399,B399="Stray",E399+6,B399="Stray w/identification",E399+11,B399="Bite",E399+10,B399="Other",E399+30,B399="BAS",E399+56,B399="Seized",E399)</f>
        <v>45758</v>
      </c>
      <c r="G399" s="2">
        <v>45834</v>
      </c>
      <c r="H399" s="6">
        <f t="shared" si="12"/>
        <v>76</v>
      </c>
      <c r="I399" s="6">
        <f t="shared" si="13"/>
        <v>76</v>
      </c>
      <c r="J399" s="2" t="s">
        <v>11</v>
      </c>
    </row>
    <row r="400" spans="1:12" x14ac:dyDescent="0.25">
      <c r="A400" s="1">
        <v>40114</v>
      </c>
      <c r="B400" s="2" t="s">
        <v>38</v>
      </c>
      <c r="C400" t="s">
        <v>422</v>
      </c>
      <c r="D400" t="s">
        <v>208</v>
      </c>
      <c r="E400" s="2">
        <v>45759</v>
      </c>
      <c r="F400" s="2" cm="1">
        <f t="array" ref="F400">_xlfn.IFS(B400="Owner Surrender",E400,B400="Stray",E400+6,B400="Stray w/identification",E400+11,B400="Bite",E400+10,B400="Other",E400+30,B400="BAS",E400+56,B400="Seized",E400)</f>
        <v>45765</v>
      </c>
      <c r="G400" s="2">
        <v>45766</v>
      </c>
      <c r="H400" s="6">
        <f t="shared" si="12"/>
        <v>7</v>
      </c>
      <c r="I400" s="6">
        <f t="shared" si="13"/>
        <v>1</v>
      </c>
      <c r="J400" s="2" t="s">
        <v>11</v>
      </c>
    </row>
    <row r="401" spans="1:12" x14ac:dyDescent="0.25">
      <c r="A401" s="1">
        <v>40115</v>
      </c>
      <c r="B401" s="2" t="s">
        <v>36</v>
      </c>
      <c r="C401" t="s">
        <v>50</v>
      </c>
      <c r="D401" t="s">
        <v>209</v>
      </c>
      <c r="E401" s="2">
        <v>45759</v>
      </c>
      <c r="F401" s="2" cm="1">
        <f t="array" ref="F401">_xlfn.IFS(B401="Owner Surrender",E401,B401="Stray",E401+6,B401="Stray w/identification",E401+11,B401="Bite",E401+10,B401="Other",E401+30,B401="BAS",E401+56,B401="Seized",E401)</f>
        <v>45759</v>
      </c>
      <c r="G401" s="2">
        <v>45772</v>
      </c>
      <c r="H401" s="6">
        <f t="shared" si="12"/>
        <v>13</v>
      </c>
      <c r="I401" s="6">
        <f t="shared" si="13"/>
        <v>13</v>
      </c>
      <c r="J401" s="2" t="s">
        <v>31</v>
      </c>
    </row>
    <row r="402" spans="1:12" x14ac:dyDescent="0.25">
      <c r="A402" s="1">
        <v>40116</v>
      </c>
      <c r="B402" s="2" t="s">
        <v>36</v>
      </c>
      <c r="C402" t="s">
        <v>49</v>
      </c>
      <c r="D402" t="s">
        <v>210</v>
      </c>
      <c r="E402" s="2">
        <v>45759</v>
      </c>
      <c r="F402" s="2" cm="1">
        <f t="array" ref="F402">_xlfn.IFS(B402="Owner Surrender",E402,B402="Stray",E402+6,B402="Stray w/identification",E402+11,B402="Bite",E402+10,B402="Other",E402+30,B402="BAS",E402+56,B402="Seized",E402)</f>
        <v>45759</v>
      </c>
      <c r="G402" s="2">
        <v>45763</v>
      </c>
      <c r="H402" s="6">
        <f t="shared" si="12"/>
        <v>4</v>
      </c>
      <c r="I402" s="6">
        <f t="shared" si="13"/>
        <v>4</v>
      </c>
      <c r="J402" s="2" t="s">
        <v>31</v>
      </c>
    </row>
    <row r="403" spans="1:12" x14ac:dyDescent="0.25">
      <c r="A403" s="1">
        <v>40117</v>
      </c>
      <c r="B403" s="2" t="s">
        <v>38</v>
      </c>
      <c r="C403" t="s">
        <v>236</v>
      </c>
      <c r="D403" t="s">
        <v>209</v>
      </c>
      <c r="E403" s="2">
        <v>45759</v>
      </c>
      <c r="F403" s="2" cm="1">
        <f t="array" ref="F403">_xlfn.IFS(B403="Owner Surrender",E403,B403="Stray",E403+6,B403="Stray w/identification",E403+11,B403="Bite",E403+10,B403="Other",E403+30,B403="BAS",E403+56,B403="Seized",E403)</f>
        <v>45765</v>
      </c>
      <c r="G403" s="2">
        <v>45773</v>
      </c>
      <c r="H403" s="6">
        <f t="shared" si="12"/>
        <v>14</v>
      </c>
      <c r="I403" s="6">
        <f t="shared" si="13"/>
        <v>8</v>
      </c>
      <c r="J403" s="2" t="s">
        <v>11</v>
      </c>
    </row>
    <row r="404" spans="1:12" x14ac:dyDescent="0.25">
      <c r="A404" s="1">
        <v>40118</v>
      </c>
      <c r="B404" s="2" t="s">
        <v>38</v>
      </c>
      <c r="C404" t="s">
        <v>236</v>
      </c>
      <c r="D404" t="s">
        <v>209</v>
      </c>
      <c r="E404" s="2">
        <v>45759</v>
      </c>
      <c r="F404" s="2" cm="1">
        <f t="array" ref="F404">_xlfn.IFS(B404="Owner Surrender",E404,B404="Stray",E404+6,B404="Stray w/identification",E404+11,B404="Bite",E404+10,B404="Other",E404+30,B404="BAS",E404+56,B404="Seized",E404)</f>
        <v>45765</v>
      </c>
      <c r="G404" s="2">
        <v>45769</v>
      </c>
      <c r="H404" s="6">
        <f t="shared" si="12"/>
        <v>10</v>
      </c>
      <c r="I404" s="6">
        <f t="shared" si="13"/>
        <v>4</v>
      </c>
      <c r="J404" s="2" t="s">
        <v>11</v>
      </c>
    </row>
    <row r="405" spans="1:12" x14ac:dyDescent="0.25">
      <c r="A405" s="1">
        <v>40133</v>
      </c>
      <c r="B405" s="2" t="s">
        <v>44</v>
      </c>
      <c r="C405" t="s">
        <v>50</v>
      </c>
      <c r="D405" t="s">
        <v>209</v>
      </c>
      <c r="E405" s="2">
        <v>45759</v>
      </c>
      <c r="F405" s="2" cm="1">
        <f t="array" ref="F405">_xlfn.IFS(B405="Owner Surrender",E405,B405="Stray",E405+6,B405="Stray w/identification",E405+11,B405="Bite",E405+10,B405="Other",E405+30,B405="BAS",E405+56,B405="Seized",E405)</f>
        <v>45815</v>
      </c>
      <c r="G405" s="2">
        <v>45774</v>
      </c>
      <c r="H405" s="6">
        <f t="shared" si="12"/>
        <v>15</v>
      </c>
      <c r="I405" s="6">
        <f t="shared" si="13"/>
        <v>-41</v>
      </c>
      <c r="J405" s="2" t="s">
        <v>31</v>
      </c>
    </row>
    <row r="406" spans="1:12" x14ac:dyDescent="0.25">
      <c r="A406" s="1">
        <v>40134</v>
      </c>
      <c r="B406" s="2" t="s">
        <v>44</v>
      </c>
      <c r="C406" t="s">
        <v>50</v>
      </c>
      <c r="D406" t="s">
        <v>209</v>
      </c>
      <c r="E406" s="2">
        <v>45759</v>
      </c>
      <c r="F406" s="2" cm="1">
        <f t="array" ref="F406">_xlfn.IFS(B406="Owner Surrender",E406,B406="Stray",E406+6,B406="Stray w/identification",E406+11,B406="Bite",E406+10,B406="Other",E406+30,B406="BAS",E406+56,B406="Seized",E406)</f>
        <v>45815</v>
      </c>
      <c r="G406" s="2">
        <v>45776</v>
      </c>
      <c r="H406" s="6">
        <f t="shared" si="12"/>
        <v>17</v>
      </c>
      <c r="I406" s="6">
        <f t="shared" si="13"/>
        <v>-39</v>
      </c>
      <c r="J406" s="2" t="s">
        <v>31</v>
      </c>
    </row>
    <row r="407" spans="1:12" x14ac:dyDescent="0.25">
      <c r="A407" s="1">
        <v>40135</v>
      </c>
      <c r="B407" s="2" t="s">
        <v>44</v>
      </c>
      <c r="C407" t="s">
        <v>50</v>
      </c>
      <c r="D407" t="s">
        <v>209</v>
      </c>
      <c r="E407" s="2">
        <v>45759</v>
      </c>
      <c r="F407" s="2" cm="1">
        <f t="array" ref="F407">_xlfn.IFS(B407="Owner Surrender",E407,B407="Stray",E407+6,B407="Stray w/identification",E407+11,B407="Bite",E407+10,B407="Other",E407+30,B407="BAS",E407+56,B407="Seized",E407)</f>
        <v>45815</v>
      </c>
      <c r="G407" s="2">
        <v>45776</v>
      </c>
      <c r="H407" s="6">
        <f t="shared" si="12"/>
        <v>17</v>
      </c>
      <c r="I407" s="6">
        <f t="shared" si="13"/>
        <v>-39</v>
      </c>
      <c r="J407" s="2" t="s">
        <v>31</v>
      </c>
    </row>
    <row r="408" spans="1:12" x14ac:dyDescent="0.25">
      <c r="A408" s="1">
        <v>40136</v>
      </c>
      <c r="B408" s="2" t="s">
        <v>44</v>
      </c>
      <c r="C408" t="s">
        <v>50</v>
      </c>
      <c r="D408" t="s">
        <v>209</v>
      </c>
      <c r="E408" s="2">
        <v>45759</v>
      </c>
      <c r="F408" s="2" cm="1">
        <f t="array" ref="F408">_xlfn.IFS(B408="Owner Surrender",E408,B408="Stray",E408+6,B408="Stray w/identification",E408+11,B408="Bite",E408+10,B408="Other",E408+30,B408="BAS",E408+56,B408="Seized",E408)</f>
        <v>45815</v>
      </c>
      <c r="G408" s="2">
        <v>45776</v>
      </c>
      <c r="H408" s="6">
        <f t="shared" si="12"/>
        <v>17</v>
      </c>
      <c r="I408" s="6">
        <f t="shared" si="13"/>
        <v>-39</v>
      </c>
      <c r="J408" s="2" t="s">
        <v>31</v>
      </c>
    </row>
    <row r="409" spans="1:12" x14ac:dyDescent="0.25">
      <c r="A409" s="1">
        <v>40137</v>
      </c>
      <c r="B409" s="2" t="s">
        <v>44</v>
      </c>
      <c r="C409" t="s">
        <v>50</v>
      </c>
      <c r="D409" t="s">
        <v>209</v>
      </c>
      <c r="E409" s="2">
        <v>45759</v>
      </c>
      <c r="F409" s="2" cm="1">
        <f t="array" ref="F409">_xlfn.IFS(B409="Owner Surrender",E409,B409="Stray",E409+6,B409="Stray w/identification",E409+11,B409="Bite",E409+10,B409="Other",E409+30,B409="BAS",E409+56,B409="Seized",E409)</f>
        <v>45815</v>
      </c>
      <c r="G409" s="2">
        <v>45776</v>
      </c>
      <c r="H409" s="6">
        <f t="shared" si="12"/>
        <v>17</v>
      </c>
      <c r="I409" s="6">
        <f t="shared" si="13"/>
        <v>-39</v>
      </c>
      <c r="J409" s="2" t="s">
        <v>31</v>
      </c>
    </row>
    <row r="410" spans="1:12" x14ac:dyDescent="0.25">
      <c r="A410" s="1">
        <v>40138</v>
      </c>
      <c r="B410" s="2" t="s">
        <v>44</v>
      </c>
      <c r="C410" t="s">
        <v>50</v>
      </c>
      <c r="D410" t="s">
        <v>209</v>
      </c>
      <c r="E410" s="2">
        <v>45759</v>
      </c>
      <c r="F410" s="2" cm="1">
        <f t="array" ref="F410">_xlfn.IFS(B410="Owner Surrender",E410,B410="Stray",E410+6,B410="Stray w/identification",E410+11,B410="Bite",E410+10,B410="Other",E410+30,B410="BAS",E410+56,B410="Seized",E410)</f>
        <v>45815</v>
      </c>
      <c r="G410" s="2">
        <v>45820</v>
      </c>
      <c r="H410" s="6">
        <f t="shared" si="12"/>
        <v>61</v>
      </c>
      <c r="I410" s="6">
        <f t="shared" si="13"/>
        <v>5</v>
      </c>
      <c r="J410" s="2" t="s">
        <v>18</v>
      </c>
    </row>
    <row r="411" spans="1:12" x14ac:dyDescent="0.25">
      <c r="A411" s="1">
        <v>40139</v>
      </c>
      <c r="B411" s="2" t="s">
        <v>44</v>
      </c>
      <c r="C411" t="s">
        <v>50</v>
      </c>
      <c r="D411" t="s">
        <v>209</v>
      </c>
      <c r="E411" s="2">
        <v>45759</v>
      </c>
      <c r="F411" s="2" cm="1">
        <f t="array" ref="F411">_xlfn.IFS(B411="Owner Surrender",E411,B411="Stray",E411+6,B411="Stray w/identification",E411+11,B411="Bite",E411+10,B411="Other",E411+30,B411="BAS",E411+56,B411="Seized",E411)</f>
        <v>45815</v>
      </c>
      <c r="G411" s="2">
        <v>45820</v>
      </c>
      <c r="H411" s="6">
        <f t="shared" si="12"/>
        <v>61</v>
      </c>
      <c r="I411" s="6">
        <f t="shared" si="13"/>
        <v>5</v>
      </c>
      <c r="J411" s="2" t="s">
        <v>18</v>
      </c>
    </row>
    <row r="412" spans="1:12" x14ac:dyDescent="0.25">
      <c r="A412" s="1">
        <v>40140</v>
      </c>
      <c r="B412" s="2" t="s">
        <v>44</v>
      </c>
      <c r="C412" t="s">
        <v>50</v>
      </c>
      <c r="D412" t="s">
        <v>209</v>
      </c>
      <c r="E412" s="2">
        <v>45759</v>
      </c>
      <c r="F412" s="2" cm="1">
        <f t="array" ref="F412">_xlfn.IFS(B412="Owner Surrender",E412,B412="Stray",E412+6,B412="Stray w/identification",E412+11,B412="Bite",E412+10,B412="Other",E412+30,B412="BAS",E412+56,B412="Seized",E412)</f>
        <v>45815</v>
      </c>
      <c r="G412" s="2">
        <v>45825</v>
      </c>
      <c r="H412" s="6">
        <f t="shared" si="12"/>
        <v>66</v>
      </c>
      <c r="I412" s="6">
        <f t="shared" si="13"/>
        <v>10</v>
      </c>
      <c r="J412" s="2" t="s">
        <v>11</v>
      </c>
    </row>
    <row r="413" spans="1:12" x14ac:dyDescent="0.25">
      <c r="A413" s="3">
        <v>40141</v>
      </c>
      <c r="B413" s="2" t="s">
        <v>44</v>
      </c>
      <c r="C413" t="s">
        <v>50</v>
      </c>
      <c r="D413" t="s">
        <v>209</v>
      </c>
      <c r="E413" s="2">
        <v>45759</v>
      </c>
      <c r="F413" s="2" cm="1">
        <f t="array" ref="F413">_xlfn.IFS(B413="Owner Surrender",E413,B413="Stray",E413+6,B413="Stray w/identification",E413+11,B413="Bite",E413+10,B413="Other",E413+30,B413="BAS",E413+56,B413="Seized",E413)</f>
        <v>45815</v>
      </c>
      <c r="G413" s="2">
        <v>45850</v>
      </c>
      <c r="H413" s="6">
        <f t="shared" si="12"/>
        <v>91</v>
      </c>
      <c r="I413" s="6">
        <f t="shared" si="13"/>
        <v>35</v>
      </c>
      <c r="J413" s="2" t="s">
        <v>18</v>
      </c>
      <c r="L413" t="s">
        <v>87</v>
      </c>
    </row>
    <row r="414" spans="1:12" x14ac:dyDescent="0.25">
      <c r="A414" s="1">
        <v>40142</v>
      </c>
      <c r="B414" s="2" t="s">
        <v>44</v>
      </c>
      <c r="C414" t="s">
        <v>50</v>
      </c>
      <c r="D414" t="s">
        <v>209</v>
      </c>
      <c r="E414" s="2">
        <v>45759</v>
      </c>
      <c r="F414" s="2" cm="1">
        <f t="array" ref="F414">_xlfn.IFS(B414="Owner Surrender",E414,B414="Stray",E414+6,B414="Stray w/identification",E414+11,B414="Bite",E414+10,B414="Other",E414+30,B414="BAS",E414+56,B414="Seized",E414)</f>
        <v>45815</v>
      </c>
      <c r="G414" s="2">
        <v>45820</v>
      </c>
      <c r="H414" s="6">
        <f t="shared" si="12"/>
        <v>61</v>
      </c>
      <c r="I414" s="6">
        <f t="shared" si="13"/>
        <v>5</v>
      </c>
      <c r="J414" s="2" t="s">
        <v>18</v>
      </c>
    </row>
    <row r="415" spans="1:12" x14ac:dyDescent="0.25">
      <c r="A415" s="1">
        <v>40143</v>
      </c>
      <c r="B415" s="2" t="s">
        <v>44</v>
      </c>
      <c r="C415" t="s">
        <v>50</v>
      </c>
      <c r="D415" t="s">
        <v>209</v>
      </c>
      <c r="E415" s="2">
        <v>45759</v>
      </c>
      <c r="F415" s="2" cm="1">
        <f t="array" ref="F415">_xlfn.IFS(B415="Owner Surrender",E415,B415="Stray",E415+6,B415="Stray w/identification",E415+11,B415="Bite",E415+10,B415="Other",E415+30,B415="BAS",E415+56,B415="Seized",E415)</f>
        <v>45815</v>
      </c>
      <c r="G415" s="2">
        <v>45771</v>
      </c>
      <c r="H415" s="6">
        <f t="shared" si="12"/>
        <v>12</v>
      </c>
      <c r="I415" s="6">
        <f t="shared" si="13"/>
        <v>-44</v>
      </c>
      <c r="J415" s="2" t="s">
        <v>28</v>
      </c>
    </row>
    <row r="416" spans="1:12" x14ac:dyDescent="0.25">
      <c r="A416" s="1">
        <v>40146</v>
      </c>
      <c r="B416" s="2" t="s">
        <v>61</v>
      </c>
      <c r="C416" t="s">
        <v>79</v>
      </c>
      <c r="D416" t="s">
        <v>208</v>
      </c>
      <c r="E416" s="2">
        <v>45762</v>
      </c>
      <c r="F416" s="2" cm="1">
        <f t="array" ref="F416">_xlfn.IFS(B416="Owner Surrender",E416,B416="Stray",E416+6,B416="Stray w/identification",E416+11,B416="Bite",E416+10,B416="Other",E416+30,B416="BAS",E416+56,B416="Seized",E416)</f>
        <v>45792</v>
      </c>
      <c r="G416" s="2">
        <v>45807</v>
      </c>
      <c r="H416" s="6">
        <f t="shared" si="12"/>
        <v>45</v>
      </c>
      <c r="I416" s="6">
        <f t="shared" si="13"/>
        <v>15</v>
      </c>
      <c r="J416" s="2" t="s">
        <v>31</v>
      </c>
    </row>
    <row r="417" spans="1:12" x14ac:dyDescent="0.25">
      <c r="A417" s="1">
        <v>40147</v>
      </c>
      <c r="B417" s="2" t="s">
        <v>36</v>
      </c>
      <c r="C417" t="s">
        <v>50</v>
      </c>
      <c r="D417" t="s">
        <v>208</v>
      </c>
      <c r="E417" s="2">
        <v>45762</v>
      </c>
      <c r="F417" s="2" cm="1">
        <f t="array" ref="F417">_xlfn.IFS(B417="Owner Surrender",E417,B417="Stray",E417+6,B417="Stray w/identification",E417+11,B417="Bite",E417+10,B417="Other",E417+30,B417="BAS",E417+56,B417="Seized",E417)</f>
        <v>45762</v>
      </c>
      <c r="G417" s="2">
        <v>45772</v>
      </c>
      <c r="H417" s="6">
        <f t="shared" si="12"/>
        <v>10</v>
      </c>
      <c r="I417" s="6">
        <f t="shared" si="13"/>
        <v>10</v>
      </c>
      <c r="J417" s="2" t="s">
        <v>31</v>
      </c>
    </row>
    <row r="418" spans="1:12" x14ac:dyDescent="0.25">
      <c r="A418" s="1">
        <v>40148</v>
      </c>
      <c r="B418" s="2" t="s">
        <v>36</v>
      </c>
      <c r="C418" t="s">
        <v>49</v>
      </c>
      <c r="D418" t="s">
        <v>208</v>
      </c>
      <c r="E418" s="2">
        <v>45762</v>
      </c>
      <c r="F418" s="2" cm="1">
        <f t="array" ref="F418">_xlfn.IFS(B418="Owner Surrender",E418,B418="Stray",E418+6,B418="Stray w/identification",E418+11,B418="Bite",E418+10,B418="Other",E418+30,B418="BAS",E418+56,B418="Seized",E418)</f>
        <v>45762</v>
      </c>
      <c r="G418" s="2">
        <v>45768</v>
      </c>
      <c r="H418" s="6">
        <f t="shared" si="12"/>
        <v>6</v>
      </c>
      <c r="I418" s="6">
        <f t="shared" si="13"/>
        <v>6</v>
      </c>
      <c r="J418" s="2" t="s">
        <v>31</v>
      </c>
      <c r="K418" t="s">
        <v>535</v>
      </c>
    </row>
    <row r="419" spans="1:12" x14ac:dyDescent="0.25">
      <c r="A419" s="1">
        <v>40149</v>
      </c>
      <c r="B419" s="2" t="s">
        <v>180</v>
      </c>
      <c r="C419" t="s">
        <v>481</v>
      </c>
      <c r="D419" t="s">
        <v>208</v>
      </c>
      <c r="E419" s="2">
        <v>45761</v>
      </c>
      <c r="F419" s="2" cm="1">
        <f t="array" ref="F419">_xlfn.IFS(B419="Owner Surrender",E419,B419="Stray",E419+6,B419="Stray w/identification",E419+11,B419="Bite",E419+10,B419="Other",E419+30,B419="BAS",E419+56,B419="Seized",E419)</f>
        <v>45772</v>
      </c>
      <c r="G419" s="2">
        <v>45790</v>
      </c>
      <c r="H419" s="6">
        <f t="shared" si="12"/>
        <v>29</v>
      </c>
      <c r="I419" s="6">
        <f t="shared" si="13"/>
        <v>18</v>
      </c>
      <c r="J419" s="2" t="s">
        <v>31</v>
      </c>
    </row>
    <row r="420" spans="1:12" x14ac:dyDescent="0.25">
      <c r="A420" s="1">
        <v>40150</v>
      </c>
      <c r="B420" s="2" t="s">
        <v>180</v>
      </c>
      <c r="C420" t="s">
        <v>50</v>
      </c>
      <c r="D420" t="s">
        <v>208</v>
      </c>
      <c r="E420" s="2">
        <v>45762</v>
      </c>
      <c r="F420" s="2" cm="1">
        <f t="array" ref="F420">_xlfn.IFS(B420="Owner Surrender",E420,B420="Stray",E420+6,B420="Stray w/identification",E420+11,B420="Bite",E420+10,B420="Other",E420+30,B420="BAS",E420+56,B420="Seized",E420)</f>
        <v>45773</v>
      </c>
      <c r="G420" s="2">
        <v>45790</v>
      </c>
      <c r="H420" s="6">
        <f t="shared" si="12"/>
        <v>28</v>
      </c>
      <c r="I420" s="6">
        <f t="shared" si="13"/>
        <v>17</v>
      </c>
      <c r="J420" s="2" t="s">
        <v>31</v>
      </c>
    </row>
    <row r="421" spans="1:12" x14ac:dyDescent="0.25">
      <c r="A421" s="1">
        <v>40151</v>
      </c>
      <c r="B421" s="2" t="s">
        <v>38</v>
      </c>
      <c r="C421" t="s">
        <v>50</v>
      </c>
      <c r="D421" t="s">
        <v>208</v>
      </c>
      <c r="E421" s="2">
        <v>45763</v>
      </c>
      <c r="F421" s="2" cm="1">
        <f t="array" ref="F421">_xlfn.IFS(B421="Owner Surrender",E421,B421="Stray",E421+6,B421="Stray w/identification",E421+11,B421="Bite",E421+10,B421="Other",E421+30,B421="BAS",E421+56,B421="Seized",E421)</f>
        <v>45769</v>
      </c>
      <c r="G421" s="2">
        <v>45772</v>
      </c>
      <c r="H421" s="6">
        <f t="shared" si="12"/>
        <v>9</v>
      </c>
      <c r="I421" s="6">
        <f t="shared" si="13"/>
        <v>3</v>
      </c>
      <c r="J421" s="2" t="s">
        <v>31</v>
      </c>
    </row>
    <row r="422" spans="1:12" x14ac:dyDescent="0.25">
      <c r="A422" s="1">
        <v>40153</v>
      </c>
      <c r="B422" s="2" t="s">
        <v>36</v>
      </c>
      <c r="C422" t="s">
        <v>50</v>
      </c>
      <c r="D422" t="s">
        <v>209</v>
      </c>
      <c r="E422" s="2">
        <v>45764</v>
      </c>
      <c r="F422" s="2" cm="1">
        <f t="array" ref="F422">_xlfn.IFS(B422="Owner Surrender",E422,B422="Stray",E422+6,B422="Stray w/identification",E422+11,B422="Bite",E422+10,B422="Other",E422+30,B422="BAS",E422+56,B422="Seized",E422)</f>
        <v>45764</v>
      </c>
      <c r="G422" s="2">
        <v>45764</v>
      </c>
      <c r="H422" s="6">
        <f t="shared" si="12"/>
        <v>0</v>
      </c>
      <c r="I422" s="6">
        <f t="shared" si="13"/>
        <v>0</v>
      </c>
      <c r="J422" s="2" t="s">
        <v>31</v>
      </c>
      <c r="L422" t="s">
        <v>124</v>
      </c>
    </row>
    <row r="423" spans="1:12" x14ac:dyDescent="0.25">
      <c r="A423" s="1">
        <v>40154</v>
      </c>
      <c r="B423" s="2" t="s">
        <v>38</v>
      </c>
      <c r="C423" t="s">
        <v>422</v>
      </c>
      <c r="D423" t="s">
        <v>208</v>
      </c>
      <c r="E423" s="2">
        <v>45765</v>
      </c>
      <c r="F423" s="2" cm="1">
        <f t="array" ref="F423">_xlfn.IFS(B423="Owner Surrender",E423,B423="Stray",E423+6,B423="Stray w/identification",E423+11,B423="Bite",E423+10,B423="Other",E423+30,B423="BAS",E423+56,B423="Seized",E423)</f>
        <v>45771</v>
      </c>
      <c r="G423" s="2">
        <v>45765</v>
      </c>
      <c r="H423" s="6">
        <f t="shared" si="12"/>
        <v>0</v>
      </c>
      <c r="I423" s="6">
        <f t="shared" si="13"/>
        <v>-6</v>
      </c>
      <c r="J423" s="2" t="s">
        <v>8</v>
      </c>
    </row>
    <row r="424" spans="1:12" x14ac:dyDescent="0.25">
      <c r="A424" s="1">
        <v>40157</v>
      </c>
      <c r="B424" s="2" t="s">
        <v>36</v>
      </c>
      <c r="C424" t="s">
        <v>56</v>
      </c>
      <c r="D424" t="s">
        <v>208</v>
      </c>
      <c r="E424" s="2">
        <v>45765</v>
      </c>
      <c r="F424" s="2" cm="1">
        <f t="array" ref="F424">_xlfn.IFS(B424="Owner Surrender",E424,B424="Stray",E424+6,B424="Stray w/identification",E424+11,B424="Bite",E424+10,B424="Other",E424+30,B424="BAS",E424+56,B424="Seized",E424)</f>
        <v>45765</v>
      </c>
      <c r="G424" s="2">
        <v>45768</v>
      </c>
      <c r="H424" s="6">
        <f t="shared" si="12"/>
        <v>3</v>
      </c>
      <c r="I424" s="6">
        <f t="shared" si="13"/>
        <v>3</v>
      </c>
      <c r="J424" s="2" t="s">
        <v>31</v>
      </c>
      <c r="K424" t="s">
        <v>534</v>
      </c>
    </row>
    <row r="425" spans="1:12" x14ac:dyDescent="0.25">
      <c r="A425" s="1">
        <v>40158</v>
      </c>
      <c r="B425" s="2" t="s">
        <v>180</v>
      </c>
      <c r="C425" t="s">
        <v>72</v>
      </c>
      <c r="D425" t="s">
        <v>208</v>
      </c>
      <c r="E425" s="2">
        <v>45765</v>
      </c>
      <c r="F425" s="2" cm="1">
        <f t="array" ref="F425">_xlfn.IFS(B425="Owner Surrender",E425,B425="Stray",E425+6,B425="Stray w/identification",E425+11,B425="Bite",E425+10,B425="Other",E425+30,B425="BAS",E425+56,B425="Seized",E425)</f>
        <v>45776</v>
      </c>
      <c r="G425" s="2">
        <v>45765</v>
      </c>
      <c r="H425" s="6">
        <f t="shared" si="12"/>
        <v>0</v>
      </c>
      <c r="I425" s="6">
        <f t="shared" si="13"/>
        <v>-11</v>
      </c>
      <c r="J425" s="2" t="s">
        <v>8</v>
      </c>
    </row>
    <row r="426" spans="1:12" x14ac:dyDescent="0.25">
      <c r="A426" s="1">
        <v>40160</v>
      </c>
      <c r="B426" s="2" t="s">
        <v>180</v>
      </c>
      <c r="C426" t="s">
        <v>109</v>
      </c>
      <c r="D426" t="s">
        <v>210</v>
      </c>
      <c r="E426" s="2">
        <v>45765</v>
      </c>
      <c r="F426" s="2" cm="1">
        <f t="array" ref="F426">_xlfn.IFS(B426="Owner Surrender",E426,B426="Stray",E426+6,B426="Stray w/identification",E426+11,B426="Bite",E426+10,B426="Other",E426+30,B426="BAS",E426+56,B426="Seized",E426)</f>
        <v>45776</v>
      </c>
      <c r="G426" s="2">
        <v>45776</v>
      </c>
      <c r="H426" s="6">
        <f t="shared" si="12"/>
        <v>11</v>
      </c>
      <c r="I426" s="6">
        <f t="shared" si="13"/>
        <v>0</v>
      </c>
      <c r="J426" s="2" t="s">
        <v>18</v>
      </c>
    </row>
    <row r="427" spans="1:12" x14ac:dyDescent="0.25">
      <c r="A427" s="1">
        <v>40161</v>
      </c>
      <c r="B427" s="2" t="s">
        <v>38</v>
      </c>
      <c r="C427" t="s">
        <v>509</v>
      </c>
      <c r="D427" t="s">
        <v>210</v>
      </c>
      <c r="E427" s="2">
        <v>45765</v>
      </c>
      <c r="F427" s="2" cm="1">
        <f t="array" ref="F427">_xlfn.IFS(B427="Owner Surrender",E427,B427="Stray",E427+6,B427="Stray w/identification",E427+11,B427="Bite",E427+10,B427="Other",E427+30,B427="BAS",E427+56,B427="Seized",E427)</f>
        <v>45771</v>
      </c>
      <c r="G427" s="2">
        <v>45796</v>
      </c>
      <c r="H427" s="6">
        <f t="shared" si="12"/>
        <v>31</v>
      </c>
      <c r="I427" s="6">
        <f t="shared" si="13"/>
        <v>25</v>
      </c>
      <c r="J427" s="2" t="s">
        <v>18</v>
      </c>
    </row>
    <row r="428" spans="1:12" x14ac:dyDescent="0.25">
      <c r="A428" s="1">
        <v>40162</v>
      </c>
      <c r="B428" s="2" t="s">
        <v>36</v>
      </c>
      <c r="C428" t="s">
        <v>50</v>
      </c>
      <c r="D428" t="s">
        <v>208</v>
      </c>
      <c r="E428" s="2">
        <v>45766</v>
      </c>
      <c r="F428" s="2" cm="1">
        <f t="array" ref="F428">_xlfn.IFS(B428="Owner Surrender",E428,B428="Stray",E428+6,B428="Stray w/identification",E428+11,B428="Bite",E428+10,B428="Other",E428+30,B428="BAS",E428+56,B428="Seized",E428)</f>
        <v>45766</v>
      </c>
      <c r="G428" s="2">
        <v>45768</v>
      </c>
      <c r="H428" s="6">
        <f t="shared" si="12"/>
        <v>2</v>
      </c>
      <c r="I428" s="6">
        <f t="shared" si="13"/>
        <v>2</v>
      </c>
      <c r="J428" s="2" t="s">
        <v>31</v>
      </c>
      <c r="K428" t="s">
        <v>533</v>
      </c>
    </row>
    <row r="429" spans="1:12" x14ac:dyDescent="0.25">
      <c r="A429" s="1">
        <v>40164</v>
      </c>
      <c r="B429" s="2" t="s">
        <v>36</v>
      </c>
      <c r="C429" t="s">
        <v>50</v>
      </c>
      <c r="D429" t="s">
        <v>208</v>
      </c>
      <c r="E429" s="2">
        <v>45758</v>
      </c>
      <c r="F429" s="2" cm="1">
        <f t="array" ref="F429">_xlfn.IFS(B429="Owner Surrender",E429,B429="Stray",E429+6,B429="Stray w/identification",E429+11,B429="Bite",E429+10,B429="Other",E429+30,B429="BAS",E429+56,B429="Seized",E429)</f>
        <v>45758</v>
      </c>
      <c r="G429" s="2">
        <v>45761</v>
      </c>
      <c r="H429" s="6">
        <f t="shared" si="12"/>
        <v>3</v>
      </c>
      <c r="I429" s="6">
        <f t="shared" si="13"/>
        <v>3</v>
      </c>
      <c r="J429" s="2" t="s">
        <v>31</v>
      </c>
      <c r="K429" t="s">
        <v>532</v>
      </c>
    </row>
    <row r="430" spans="1:12" x14ac:dyDescent="0.25">
      <c r="A430" s="1">
        <v>40167</v>
      </c>
      <c r="B430" s="2" t="s">
        <v>38</v>
      </c>
      <c r="C430" t="s">
        <v>50</v>
      </c>
      <c r="D430" t="s">
        <v>209</v>
      </c>
      <c r="E430" s="2">
        <v>45766</v>
      </c>
      <c r="F430" s="2" cm="1">
        <f t="array" ref="F430">_xlfn.IFS(B430="Owner Surrender",E430,B430="Stray",E430+6,B430="Stray w/identification",E430+11,B430="Bite",E430+10,B430="Other",E430+30,B430="BAS",E430+56,B430="Seized",E430)</f>
        <v>45772</v>
      </c>
      <c r="H430" s="6">
        <f t="shared" si="12"/>
        <v>-45766</v>
      </c>
      <c r="I430" s="6">
        <f t="shared" si="13"/>
        <v>-45772</v>
      </c>
      <c r="J430" s="2" t="s">
        <v>21</v>
      </c>
    </row>
    <row r="431" spans="1:12" x14ac:dyDescent="0.25">
      <c r="A431" s="1">
        <v>40168</v>
      </c>
      <c r="B431" s="2" t="s">
        <v>36</v>
      </c>
      <c r="C431" t="s">
        <v>49</v>
      </c>
      <c r="D431" t="s">
        <v>208</v>
      </c>
      <c r="E431" s="2">
        <v>45766</v>
      </c>
      <c r="F431" s="2" cm="1">
        <f t="array" ref="F431">_xlfn.IFS(B431="Owner Surrender",E431,B431="Stray",E431+6,B431="Stray w/identification",E431+11,B431="Bite",E431+10,B431="Other",E431+30,B431="BAS",E431+56,B431="Seized",E431)</f>
        <v>45766</v>
      </c>
      <c r="G431" s="2">
        <v>45776</v>
      </c>
      <c r="H431" s="6">
        <f t="shared" si="12"/>
        <v>10</v>
      </c>
      <c r="I431" s="6">
        <f t="shared" si="13"/>
        <v>10</v>
      </c>
      <c r="J431" s="2" t="s">
        <v>31</v>
      </c>
    </row>
    <row r="432" spans="1:12" x14ac:dyDescent="0.25">
      <c r="A432" s="1">
        <v>40169</v>
      </c>
      <c r="B432" s="2" t="s">
        <v>36</v>
      </c>
      <c r="C432" t="s">
        <v>109</v>
      </c>
      <c r="D432" t="s">
        <v>208</v>
      </c>
      <c r="E432" s="2">
        <v>45768</v>
      </c>
      <c r="F432" s="2" cm="1">
        <f t="array" ref="F432">_xlfn.IFS(B432="Owner Surrender",E432,B432="Stray",E432+6,B432="Stray w/identification",E432+11,B432="Bite",E432+10,B432="Other",E432+30,B432="BAS",E432+56,B432="Seized",E432)</f>
        <v>45768</v>
      </c>
      <c r="G432" s="2">
        <v>45771</v>
      </c>
      <c r="H432" s="6">
        <f t="shared" si="12"/>
        <v>3</v>
      </c>
      <c r="I432" s="6">
        <f t="shared" si="13"/>
        <v>3</v>
      </c>
      <c r="J432" s="2" t="s">
        <v>18</v>
      </c>
    </row>
    <row r="433" spans="1:10" x14ac:dyDescent="0.25">
      <c r="A433" s="1">
        <v>40170</v>
      </c>
      <c r="B433" s="2" t="s">
        <v>38</v>
      </c>
      <c r="C433" t="s">
        <v>523</v>
      </c>
      <c r="D433" t="s">
        <v>208</v>
      </c>
      <c r="E433" s="2">
        <v>45768</v>
      </c>
      <c r="F433" s="2" cm="1">
        <f t="array" ref="F433">_xlfn.IFS(B433="Owner Surrender",E433,B433="Stray",E433+6,B433="Stray w/identification",E433+11,B433="Bite",E433+10,B433="Other",E433+30,B433="BAS",E433+56,B433="Seized",E433)</f>
        <v>45774</v>
      </c>
      <c r="G433" s="2">
        <v>45776</v>
      </c>
      <c r="H433" s="6">
        <f t="shared" si="12"/>
        <v>8</v>
      </c>
      <c r="I433" s="6">
        <f t="shared" si="13"/>
        <v>2</v>
      </c>
      <c r="J433" s="2" t="s">
        <v>11</v>
      </c>
    </row>
    <row r="434" spans="1:10" x14ac:dyDescent="0.25">
      <c r="A434" s="1">
        <v>40171</v>
      </c>
      <c r="B434" s="2" t="s">
        <v>36</v>
      </c>
      <c r="C434" t="s">
        <v>422</v>
      </c>
      <c r="D434" t="s">
        <v>208</v>
      </c>
      <c r="E434" s="2">
        <v>45767</v>
      </c>
      <c r="F434" s="2" cm="1">
        <f t="array" ref="F434">_xlfn.IFS(B434="Owner Surrender",E434,B434="Stray",E434+6,B434="Stray w/identification",E434+11,B434="Bite",E434+10,B434="Other",E434+30,B434="BAS",E434+56,B434="Seized",E434)</f>
        <v>45767</v>
      </c>
      <c r="G434" s="2">
        <v>45790</v>
      </c>
      <c r="H434" s="6">
        <f t="shared" si="12"/>
        <v>23</v>
      </c>
      <c r="I434" s="6">
        <f t="shared" si="13"/>
        <v>23</v>
      </c>
      <c r="J434" s="2" t="s">
        <v>31</v>
      </c>
    </row>
    <row r="435" spans="1:10" x14ac:dyDescent="0.25">
      <c r="A435" s="1">
        <v>40172</v>
      </c>
      <c r="B435" s="2" t="s">
        <v>36</v>
      </c>
      <c r="C435" t="s">
        <v>422</v>
      </c>
      <c r="D435" t="s">
        <v>208</v>
      </c>
      <c r="E435" s="2">
        <v>45767</v>
      </c>
      <c r="F435" s="2" cm="1">
        <f t="array" ref="F435">_xlfn.IFS(B435="Owner Surrender",E435,B435="Stray",E435+6,B435="Stray w/identification",E435+11,B435="Bite",E435+10,B435="Other",E435+30,B435="BAS",E435+56,B435="Seized",E435)</f>
        <v>45767</v>
      </c>
      <c r="G435" s="2">
        <v>45776</v>
      </c>
      <c r="H435" s="6">
        <f t="shared" si="12"/>
        <v>9</v>
      </c>
      <c r="I435" s="6">
        <f t="shared" si="13"/>
        <v>9</v>
      </c>
      <c r="J435" s="2" t="s">
        <v>31</v>
      </c>
    </row>
    <row r="436" spans="1:10" x14ac:dyDescent="0.25">
      <c r="A436" s="1">
        <v>40177</v>
      </c>
      <c r="B436" s="2" t="s">
        <v>180</v>
      </c>
      <c r="C436" t="s">
        <v>108</v>
      </c>
      <c r="D436" t="s">
        <v>208</v>
      </c>
      <c r="E436" s="2">
        <v>45767</v>
      </c>
      <c r="F436" s="2" cm="1">
        <f t="array" ref="F436">_xlfn.IFS(B436="Owner Surrender",E436,B436="Stray",E436+6,B436="Stray w/identification",E436+11,B436="Bite",E436+10,B436="Other",E436+30,B436="BAS",E436+56,B436="Seized",E436)</f>
        <v>45778</v>
      </c>
      <c r="G436" s="2">
        <v>45768</v>
      </c>
      <c r="H436" s="6">
        <f t="shared" si="12"/>
        <v>1</v>
      </c>
      <c r="I436" s="6">
        <f t="shared" si="13"/>
        <v>-10</v>
      </c>
      <c r="J436" s="2" t="s">
        <v>8</v>
      </c>
    </row>
    <row r="437" spans="1:10" x14ac:dyDescent="0.25">
      <c r="A437" s="1">
        <v>40188</v>
      </c>
      <c r="B437" s="2" t="s">
        <v>36</v>
      </c>
      <c r="C437" t="s">
        <v>56</v>
      </c>
      <c r="D437" t="s">
        <v>209</v>
      </c>
      <c r="E437" s="2">
        <v>45769</v>
      </c>
      <c r="F437" s="2" cm="1">
        <f t="array" ref="F437">_xlfn.IFS(B437="Owner Surrender",E437,B437="Stray",E437+6,B437="Stray w/identification",E437+11,B437="Bite",E437+10,B437="Other",E437+30,B437="BAS",E437+56,B437="Seized",E437)</f>
        <v>45769</v>
      </c>
      <c r="G437" s="2">
        <v>45779</v>
      </c>
      <c r="H437" s="6">
        <f t="shared" si="12"/>
        <v>10</v>
      </c>
      <c r="I437" s="6">
        <f t="shared" si="13"/>
        <v>10</v>
      </c>
      <c r="J437" s="2" t="s">
        <v>31</v>
      </c>
    </row>
    <row r="438" spans="1:10" x14ac:dyDescent="0.25">
      <c r="A438" s="1">
        <v>40209</v>
      </c>
      <c r="B438" s="2" t="s">
        <v>38</v>
      </c>
      <c r="C438" t="s">
        <v>76</v>
      </c>
      <c r="D438" t="s">
        <v>209</v>
      </c>
      <c r="E438" s="2">
        <v>45769</v>
      </c>
      <c r="F438" s="2" cm="1">
        <f t="array" ref="F438">_xlfn.IFS(B438="Owner Surrender",E438,B438="Stray",E438+6,B438="Stray w/identification",E438+11,B438="Bite",E438+10,B438="Other",E438+30,B438="BAS",E438+56,B438="Seized",E438)</f>
        <v>45775</v>
      </c>
      <c r="G438" s="2">
        <v>45779</v>
      </c>
      <c r="H438" s="6">
        <f t="shared" si="12"/>
        <v>10</v>
      </c>
      <c r="I438" s="6">
        <f t="shared" si="13"/>
        <v>4</v>
      </c>
      <c r="J438" s="2" t="s">
        <v>31</v>
      </c>
    </row>
    <row r="439" spans="1:10" x14ac:dyDescent="0.25">
      <c r="A439" s="1">
        <v>40210</v>
      </c>
      <c r="B439" s="2" t="s">
        <v>38</v>
      </c>
      <c r="C439" t="s">
        <v>76</v>
      </c>
      <c r="D439" t="s">
        <v>209</v>
      </c>
      <c r="E439" s="2">
        <v>45769</v>
      </c>
      <c r="F439" s="2" cm="1">
        <f t="array" ref="F439">_xlfn.IFS(B439="Owner Surrender",E439,B439="Stray",E439+6,B439="Stray w/identification",E439+11,B439="Bite",E439+10,B439="Other",E439+30,B439="BAS",E439+56,B439="Seized",E439)</f>
        <v>45775</v>
      </c>
      <c r="G439" s="2">
        <v>45779</v>
      </c>
      <c r="H439" s="6">
        <f t="shared" si="12"/>
        <v>10</v>
      </c>
      <c r="I439" s="6">
        <f t="shared" si="13"/>
        <v>4</v>
      </c>
      <c r="J439" s="2" t="s">
        <v>31</v>
      </c>
    </row>
    <row r="440" spans="1:10" x14ac:dyDescent="0.25">
      <c r="A440" s="1">
        <v>40225</v>
      </c>
      <c r="B440" s="2" t="s">
        <v>180</v>
      </c>
      <c r="C440" t="s">
        <v>50</v>
      </c>
      <c r="D440" t="s">
        <v>208</v>
      </c>
      <c r="E440" s="2">
        <v>45771</v>
      </c>
      <c r="F440" s="2" cm="1">
        <f t="array" ref="F440">_xlfn.IFS(B440="Owner Surrender",E440,B440="Stray",E440+6,B440="Stray w/identification",E440+11,B440="Bite",E440+10,B440="Other",E440+30,B440="BAS",E440+56,B440="Seized",E440)</f>
        <v>45782</v>
      </c>
      <c r="G440" s="2">
        <v>45772</v>
      </c>
      <c r="H440" s="6">
        <f t="shared" si="12"/>
        <v>1</v>
      </c>
      <c r="I440" s="6">
        <f t="shared" si="13"/>
        <v>-10</v>
      </c>
      <c r="J440" s="2" t="s">
        <v>8</v>
      </c>
    </row>
    <row r="441" spans="1:10" x14ac:dyDescent="0.25">
      <c r="A441" s="1">
        <v>40234</v>
      </c>
      <c r="B441" s="2" t="s">
        <v>38</v>
      </c>
      <c r="C441" t="s">
        <v>90</v>
      </c>
      <c r="D441" t="s">
        <v>208</v>
      </c>
      <c r="E441" s="2">
        <v>45772</v>
      </c>
      <c r="F441" s="2" cm="1">
        <f t="array" ref="F441">_xlfn.IFS(B441="Owner Surrender",E441,B441="Stray",E441+6,B441="Stray w/identification",E441+11,B441="Bite",E441+10,B441="Other",E441+30,B441="BAS",E441+56,B441="Seized",E441)</f>
        <v>45778</v>
      </c>
      <c r="G441" s="2">
        <v>45790</v>
      </c>
      <c r="H441" s="6">
        <f t="shared" si="12"/>
        <v>18</v>
      </c>
      <c r="I441" s="6">
        <f t="shared" si="13"/>
        <v>12</v>
      </c>
      <c r="J441" s="2" t="s">
        <v>31</v>
      </c>
    </row>
    <row r="442" spans="1:10" x14ac:dyDescent="0.25">
      <c r="A442" s="1">
        <v>40240</v>
      </c>
      <c r="B442" s="2" t="s">
        <v>61</v>
      </c>
      <c r="C442" t="s">
        <v>76</v>
      </c>
      <c r="D442" t="s">
        <v>209</v>
      </c>
      <c r="E442" s="2">
        <v>45772</v>
      </c>
      <c r="F442" s="2" cm="1">
        <f t="array" ref="F442">_xlfn.IFS(B442="Owner Surrender",E442,B442="Stray",E442+6,B442="Stray w/identification",E442+11,B442="Bite",E442+10,B442="Other",E442+30,B442="BAS",E442+56,B442="Seized",E442)</f>
        <v>45802</v>
      </c>
      <c r="G442" s="2">
        <v>45779</v>
      </c>
      <c r="H442" s="6">
        <f t="shared" si="12"/>
        <v>7</v>
      </c>
      <c r="I442" s="6">
        <f t="shared" si="13"/>
        <v>-23</v>
      </c>
      <c r="J442" s="2" t="s">
        <v>8</v>
      </c>
    </row>
    <row r="443" spans="1:10" x14ac:dyDescent="0.25">
      <c r="A443" s="1">
        <v>40244</v>
      </c>
      <c r="B443" s="2" t="s">
        <v>36</v>
      </c>
      <c r="C443" t="s">
        <v>149</v>
      </c>
      <c r="D443" t="s">
        <v>209</v>
      </c>
      <c r="E443" s="2">
        <v>45773</v>
      </c>
      <c r="F443" s="2" cm="1">
        <f t="array" ref="F443">_xlfn.IFS(B443="Owner Surrender",E443,B443="Stray",E443+6,B443="Stray w/identification",E443+11,B443="Bite",E443+10,B443="Other",E443+30,B443="BAS",E443+56,B443="Seized",E443)</f>
        <v>45773</v>
      </c>
      <c r="G443" s="2">
        <v>45815</v>
      </c>
      <c r="H443" s="6">
        <f t="shared" si="12"/>
        <v>42</v>
      </c>
      <c r="I443" s="6">
        <f t="shared" si="13"/>
        <v>42</v>
      </c>
      <c r="J443" s="2" t="s">
        <v>18</v>
      </c>
    </row>
    <row r="444" spans="1:10" x14ac:dyDescent="0.25">
      <c r="A444" s="1">
        <v>40245</v>
      </c>
      <c r="B444" s="2" t="s">
        <v>36</v>
      </c>
      <c r="C444" t="s">
        <v>149</v>
      </c>
      <c r="D444" t="s">
        <v>209</v>
      </c>
      <c r="E444" s="2">
        <v>45773</v>
      </c>
      <c r="F444" s="2" cm="1">
        <f t="array" ref="F444">_xlfn.IFS(B444="Owner Surrender",E444,B444="Stray",E444+6,B444="Stray w/identification",E444+11,B444="Bite",E444+10,B444="Other",E444+30,B444="BAS",E444+56,B444="Seized",E444)</f>
        <v>45773</v>
      </c>
      <c r="G444" s="2">
        <v>45815</v>
      </c>
      <c r="H444" s="6">
        <f t="shared" si="12"/>
        <v>42</v>
      </c>
      <c r="I444" s="6">
        <f t="shared" si="13"/>
        <v>42</v>
      </c>
      <c r="J444" s="2" t="s">
        <v>18</v>
      </c>
    </row>
    <row r="445" spans="1:10" x14ac:dyDescent="0.25">
      <c r="A445" s="1">
        <v>40246</v>
      </c>
      <c r="B445" s="2" t="s">
        <v>36</v>
      </c>
      <c r="C445" t="s">
        <v>149</v>
      </c>
      <c r="D445" t="s">
        <v>209</v>
      </c>
      <c r="E445" s="2">
        <v>45773</v>
      </c>
      <c r="F445" s="2" cm="1">
        <f t="array" ref="F445">_xlfn.IFS(B445="Owner Surrender",E445,B445="Stray",E445+6,B445="Stray w/identification",E445+11,B445="Bite",E445+10,B445="Other",E445+30,B445="BAS",E445+56,B445="Seized",E445)</f>
        <v>45773</v>
      </c>
      <c r="G445" s="2">
        <v>45815</v>
      </c>
      <c r="H445" s="6">
        <f t="shared" si="12"/>
        <v>42</v>
      </c>
      <c r="I445" s="6">
        <f t="shared" si="13"/>
        <v>42</v>
      </c>
      <c r="J445" s="2" t="s">
        <v>18</v>
      </c>
    </row>
    <row r="446" spans="1:10" x14ac:dyDescent="0.25">
      <c r="A446" s="1">
        <v>40247</v>
      </c>
      <c r="B446" s="2" t="s">
        <v>36</v>
      </c>
      <c r="C446" t="s">
        <v>149</v>
      </c>
      <c r="D446" t="s">
        <v>209</v>
      </c>
      <c r="E446" s="2">
        <v>45773</v>
      </c>
      <c r="F446" s="2" cm="1">
        <f t="array" ref="F446">_xlfn.IFS(B446="Owner Surrender",E446,B446="Stray",E446+6,B446="Stray w/identification",E446+11,B446="Bite",E446+10,B446="Other",E446+30,B446="BAS",E446+56,B446="Seized",E446)</f>
        <v>45773</v>
      </c>
      <c r="G446" s="2">
        <v>45790</v>
      </c>
      <c r="H446" s="6">
        <f t="shared" si="12"/>
        <v>17</v>
      </c>
      <c r="I446" s="6">
        <f t="shared" si="13"/>
        <v>17</v>
      </c>
      <c r="J446" s="2" t="s">
        <v>31</v>
      </c>
    </row>
    <row r="447" spans="1:10" x14ac:dyDescent="0.25">
      <c r="A447" s="1">
        <v>40248</v>
      </c>
      <c r="B447" s="2" t="s">
        <v>36</v>
      </c>
      <c r="C447" t="s">
        <v>149</v>
      </c>
      <c r="D447" t="s">
        <v>209</v>
      </c>
      <c r="E447" s="2">
        <v>45773</v>
      </c>
      <c r="F447" s="2" cm="1">
        <f t="array" ref="F447">_xlfn.IFS(B447="Owner Surrender",E447,B447="Stray",E447+6,B447="Stray w/identification",E447+11,B447="Bite",E447+10,B447="Other",E447+30,B447="BAS",E447+56,B447="Seized",E447)</f>
        <v>45773</v>
      </c>
      <c r="G447" s="2">
        <v>45788</v>
      </c>
      <c r="H447" s="6">
        <f t="shared" si="12"/>
        <v>15</v>
      </c>
      <c r="I447" s="6">
        <f t="shared" si="13"/>
        <v>15</v>
      </c>
      <c r="J447" s="2" t="s">
        <v>31</v>
      </c>
    </row>
    <row r="448" spans="1:10" x14ac:dyDescent="0.25">
      <c r="A448" s="1">
        <v>40249</v>
      </c>
      <c r="B448" s="2" t="s">
        <v>36</v>
      </c>
      <c r="C448" t="s">
        <v>149</v>
      </c>
      <c r="D448" t="s">
        <v>209</v>
      </c>
      <c r="E448" s="2">
        <v>45773</v>
      </c>
      <c r="F448" s="2" cm="1">
        <f t="array" ref="F448">_xlfn.IFS(B448="Owner Surrender",E448,B448="Stray",E448+6,B448="Stray w/identification",E448+11,B448="Bite",E448+10,B448="Other",E448+30,B448="BAS",E448+56,B448="Seized",E448)</f>
        <v>45773</v>
      </c>
      <c r="G448" s="2">
        <v>45790</v>
      </c>
      <c r="H448" s="6">
        <f t="shared" si="12"/>
        <v>17</v>
      </c>
      <c r="I448" s="6">
        <f t="shared" si="13"/>
        <v>17</v>
      </c>
      <c r="J448" s="2" t="s">
        <v>31</v>
      </c>
    </row>
    <row r="449" spans="1:12" x14ac:dyDescent="0.25">
      <c r="A449" s="1">
        <v>40250</v>
      </c>
      <c r="B449" s="2" t="s">
        <v>36</v>
      </c>
      <c r="C449" t="s">
        <v>149</v>
      </c>
      <c r="D449" t="s">
        <v>209</v>
      </c>
      <c r="E449" s="2">
        <v>45773</v>
      </c>
      <c r="F449" s="2" cm="1">
        <f t="array" ref="F449">_xlfn.IFS(B449="Owner Surrender",E449,B449="Stray",E449+6,B449="Stray w/identification",E449+11,B449="Bite",E449+10,B449="Other",E449+30,B449="BAS",E449+56,B449="Seized",E449)</f>
        <v>45773</v>
      </c>
      <c r="G449" s="2">
        <v>45790</v>
      </c>
      <c r="H449" s="6">
        <f t="shared" si="12"/>
        <v>17</v>
      </c>
      <c r="I449" s="6">
        <f t="shared" si="13"/>
        <v>17</v>
      </c>
      <c r="J449" s="2" t="s">
        <v>31</v>
      </c>
      <c r="L449" t="s">
        <v>540</v>
      </c>
    </row>
    <row r="450" spans="1:12" x14ac:dyDescent="0.25">
      <c r="A450" s="1">
        <v>40251</v>
      </c>
      <c r="B450" s="2" t="s">
        <v>36</v>
      </c>
      <c r="C450" t="s">
        <v>149</v>
      </c>
      <c r="D450" t="s">
        <v>209</v>
      </c>
      <c r="E450" s="2">
        <v>45773</v>
      </c>
      <c r="F450" s="2" cm="1">
        <f t="array" ref="F450">_xlfn.IFS(B450="Owner Surrender",E450,B450="Stray",E450+6,B450="Stray w/identification",E450+11,B450="Bite",E450+10,B450="Other",E450+30,B450="BAS",E450+56,B450="Seized",E450)</f>
        <v>45773</v>
      </c>
      <c r="G450" s="2">
        <v>45790</v>
      </c>
      <c r="H450" s="6">
        <f t="shared" si="12"/>
        <v>17</v>
      </c>
      <c r="I450" s="6">
        <f t="shared" si="13"/>
        <v>17</v>
      </c>
      <c r="J450" s="2" t="s">
        <v>31</v>
      </c>
    </row>
    <row r="451" spans="1:12" x14ac:dyDescent="0.25">
      <c r="A451" s="1">
        <v>40252</v>
      </c>
      <c r="B451" s="2" t="s">
        <v>36</v>
      </c>
      <c r="C451" t="s">
        <v>149</v>
      </c>
      <c r="D451" t="s">
        <v>209</v>
      </c>
      <c r="E451" s="2">
        <v>45773</v>
      </c>
      <c r="F451" s="2" cm="1">
        <f t="array" ref="F451">_xlfn.IFS(B451="Owner Surrender",E451,B451="Stray",E451+6,B451="Stray w/identification",E451+11,B451="Bite",E451+10,B451="Other",E451+30,B451="BAS",E451+56,B451="Seized",E451)</f>
        <v>45773</v>
      </c>
      <c r="G451" s="2">
        <v>45790</v>
      </c>
      <c r="H451" s="6">
        <f t="shared" ref="H451:H514" si="14">+G451-E451</f>
        <v>17</v>
      </c>
      <c r="I451" s="6">
        <f t="shared" ref="I451:I514" si="15">G451-F451</f>
        <v>17</v>
      </c>
      <c r="J451" s="2" t="s">
        <v>31</v>
      </c>
      <c r="L451" t="s">
        <v>33</v>
      </c>
    </row>
    <row r="452" spans="1:12" x14ac:dyDescent="0.25">
      <c r="A452" s="1">
        <v>40253</v>
      </c>
      <c r="B452" s="2" t="s">
        <v>36</v>
      </c>
      <c r="C452" t="s">
        <v>50</v>
      </c>
      <c r="D452" t="s">
        <v>209</v>
      </c>
      <c r="E452" s="2">
        <v>45773</v>
      </c>
      <c r="F452" s="2" cm="1">
        <f t="array" ref="F452">_xlfn.IFS(B452="Owner Surrender",E452,B452="Stray",E452+6,B452="Stray w/identification",E452+11,B452="Bite",E452+10,B452="Other",E452+30,B452="BAS",E452+56,B452="Seized",E452)</f>
        <v>45773</v>
      </c>
      <c r="G452" s="2">
        <v>45776</v>
      </c>
      <c r="H452" s="6">
        <f t="shared" si="14"/>
        <v>3</v>
      </c>
      <c r="I452" s="6">
        <f t="shared" si="15"/>
        <v>3</v>
      </c>
      <c r="J452" s="2" t="s">
        <v>31</v>
      </c>
      <c r="L452" t="s">
        <v>33</v>
      </c>
    </row>
    <row r="453" spans="1:12" x14ac:dyDescent="0.25">
      <c r="A453" s="1">
        <v>40254</v>
      </c>
      <c r="B453" s="2" t="s">
        <v>36</v>
      </c>
      <c r="C453" t="s">
        <v>50</v>
      </c>
      <c r="D453" t="s">
        <v>209</v>
      </c>
      <c r="E453" s="2">
        <v>45773</v>
      </c>
      <c r="F453" s="2" cm="1">
        <f t="array" ref="F453">_xlfn.IFS(B453="Owner Surrender",E453,B453="Stray",E453+6,B453="Stray w/identification",E453+11,B453="Bite",E453+10,B453="Other",E453+30,B453="BAS",E453+56,B453="Seized",E453)</f>
        <v>45773</v>
      </c>
      <c r="G453" s="2">
        <v>45776</v>
      </c>
      <c r="H453" s="6">
        <f t="shared" si="14"/>
        <v>3</v>
      </c>
      <c r="I453" s="6">
        <f t="shared" si="15"/>
        <v>3</v>
      </c>
      <c r="J453" s="2" t="s">
        <v>31</v>
      </c>
      <c r="L453" t="s">
        <v>33</v>
      </c>
    </row>
    <row r="454" spans="1:12" x14ac:dyDescent="0.25">
      <c r="A454" s="1">
        <v>40255</v>
      </c>
      <c r="B454" s="2" t="s">
        <v>36</v>
      </c>
      <c r="C454" t="s">
        <v>50</v>
      </c>
      <c r="D454" t="s">
        <v>209</v>
      </c>
      <c r="E454" s="2">
        <v>45773</v>
      </c>
      <c r="F454" s="2" cm="1">
        <f t="array" ref="F454">_xlfn.IFS(B454="Owner Surrender",E454,B454="Stray",E454+6,B454="Stray w/identification",E454+11,B454="Bite",E454+10,B454="Other",E454+30,B454="BAS",E454+56,B454="Seized",E454)</f>
        <v>45773</v>
      </c>
      <c r="G454" s="2">
        <v>45776</v>
      </c>
      <c r="H454" s="6">
        <f t="shared" si="14"/>
        <v>3</v>
      </c>
      <c r="I454" s="6">
        <f t="shared" si="15"/>
        <v>3</v>
      </c>
      <c r="J454" s="2" t="s">
        <v>31</v>
      </c>
      <c r="L454" t="s">
        <v>33</v>
      </c>
    </row>
    <row r="455" spans="1:12" x14ac:dyDescent="0.25">
      <c r="A455" s="1">
        <v>40256</v>
      </c>
      <c r="B455" s="2" t="s">
        <v>36</v>
      </c>
      <c r="C455" t="s">
        <v>50</v>
      </c>
      <c r="D455" t="s">
        <v>209</v>
      </c>
      <c r="E455" s="2">
        <v>45773</v>
      </c>
      <c r="F455" s="2" cm="1">
        <f t="array" ref="F455">_xlfn.IFS(B455="Owner Surrender",E455,B455="Stray",E455+6,B455="Stray w/identification",E455+11,B455="Bite",E455+10,B455="Other",E455+30,B455="BAS",E455+56,B455="Seized",E455)</f>
        <v>45773</v>
      </c>
      <c r="G455" s="2">
        <v>45776</v>
      </c>
      <c r="H455" s="6">
        <f t="shared" si="14"/>
        <v>3</v>
      </c>
      <c r="I455" s="6">
        <f t="shared" si="15"/>
        <v>3</v>
      </c>
      <c r="J455" s="2" t="s">
        <v>31</v>
      </c>
      <c r="L455" t="s">
        <v>33</v>
      </c>
    </row>
    <row r="456" spans="1:12" x14ac:dyDescent="0.25">
      <c r="A456" s="1">
        <v>40257</v>
      </c>
      <c r="B456" s="2" t="s">
        <v>36</v>
      </c>
      <c r="C456" t="s">
        <v>50</v>
      </c>
      <c r="D456" t="s">
        <v>209</v>
      </c>
      <c r="E456" s="2">
        <v>45773</v>
      </c>
      <c r="F456" s="2" cm="1">
        <f t="array" ref="F456">_xlfn.IFS(B456="Owner Surrender",E456,B456="Stray",E456+6,B456="Stray w/identification",E456+11,B456="Bite",E456+10,B456="Other",E456+30,B456="BAS",E456+56,B456="Seized",E456)</f>
        <v>45773</v>
      </c>
      <c r="G456" s="2">
        <v>45776</v>
      </c>
      <c r="H456" s="6">
        <f t="shared" si="14"/>
        <v>3</v>
      </c>
      <c r="I456" s="6">
        <f t="shared" si="15"/>
        <v>3</v>
      </c>
      <c r="J456" s="2" t="s">
        <v>31</v>
      </c>
      <c r="L456" t="s">
        <v>33</v>
      </c>
    </row>
    <row r="457" spans="1:12" x14ac:dyDescent="0.25">
      <c r="A457" s="1">
        <v>40258</v>
      </c>
      <c r="B457" s="2" t="s">
        <v>36</v>
      </c>
      <c r="C457" t="s">
        <v>50</v>
      </c>
      <c r="D457" t="s">
        <v>209</v>
      </c>
      <c r="E457" s="2">
        <v>45773</v>
      </c>
      <c r="F457" s="2" cm="1">
        <f t="array" ref="F457">_xlfn.IFS(B457="Owner Surrender",E457,B457="Stray",E457+6,B457="Stray w/identification",E457+11,B457="Bite",E457+10,B457="Other",E457+30,B457="BAS",E457+56,B457="Seized",E457)</f>
        <v>45773</v>
      </c>
      <c r="G457" s="2">
        <v>45776</v>
      </c>
      <c r="H457" s="6">
        <f t="shared" si="14"/>
        <v>3</v>
      </c>
      <c r="I457" s="6">
        <f t="shared" si="15"/>
        <v>3</v>
      </c>
      <c r="J457" s="2" t="s">
        <v>31</v>
      </c>
      <c r="L457" t="s">
        <v>33</v>
      </c>
    </row>
    <row r="458" spans="1:12" x14ac:dyDescent="0.25">
      <c r="A458" s="1">
        <v>40259</v>
      </c>
      <c r="B458" s="2" t="s">
        <v>36</v>
      </c>
      <c r="C458" t="s">
        <v>50</v>
      </c>
      <c r="D458" t="s">
        <v>209</v>
      </c>
      <c r="E458" s="2">
        <v>45773</v>
      </c>
      <c r="F458" s="2" cm="1">
        <f t="array" ref="F458">_xlfn.IFS(B458="Owner Surrender",E458,B458="Stray",E458+6,B458="Stray w/identification",E458+11,B458="Bite",E458+10,B458="Other",E458+30,B458="BAS",E458+56,B458="Seized",E458)</f>
        <v>45773</v>
      </c>
      <c r="G458" s="2">
        <v>45776</v>
      </c>
      <c r="H458" s="6">
        <f t="shared" si="14"/>
        <v>3</v>
      </c>
      <c r="I458" s="6">
        <f t="shared" si="15"/>
        <v>3</v>
      </c>
      <c r="J458" s="2" t="s">
        <v>31</v>
      </c>
      <c r="L458" t="s">
        <v>33</v>
      </c>
    </row>
    <row r="459" spans="1:12" x14ac:dyDescent="0.25">
      <c r="A459" s="1">
        <v>40260</v>
      </c>
      <c r="B459" s="2" t="s">
        <v>36</v>
      </c>
      <c r="C459" t="s">
        <v>50</v>
      </c>
      <c r="D459" t="s">
        <v>209</v>
      </c>
      <c r="E459" s="2">
        <v>45773</v>
      </c>
      <c r="F459" s="2" cm="1">
        <f t="array" ref="F459">_xlfn.IFS(B459="Owner Surrender",E459,B459="Stray",E459+6,B459="Stray w/identification",E459+11,B459="Bite",E459+10,B459="Other",E459+30,B459="BAS",E459+56,B459="Seized",E459)</f>
        <v>45773</v>
      </c>
      <c r="G459" s="2">
        <v>45776</v>
      </c>
      <c r="H459" s="6">
        <f t="shared" si="14"/>
        <v>3</v>
      </c>
      <c r="I459" s="6">
        <f t="shared" si="15"/>
        <v>3</v>
      </c>
      <c r="J459" s="2" t="s">
        <v>31</v>
      </c>
    </row>
    <row r="460" spans="1:12" x14ac:dyDescent="0.25">
      <c r="A460" s="1">
        <v>40261</v>
      </c>
      <c r="B460" s="2" t="s">
        <v>61</v>
      </c>
      <c r="C460" t="s">
        <v>49</v>
      </c>
      <c r="D460" t="s">
        <v>208</v>
      </c>
      <c r="E460" s="2">
        <v>45773</v>
      </c>
      <c r="F460" s="2" cm="1">
        <f t="array" ref="F460">_xlfn.IFS(B460="Owner Surrender",E460,B460="Stray",E460+6,B460="Stray w/identification",E460+11,B460="Bite",E460+10,B460="Other",E460+30,B460="BAS",E460+56,B460="Seized",E460)</f>
        <v>45803</v>
      </c>
      <c r="G460" s="2">
        <v>45783</v>
      </c>
      <c r="H460" s="6">
        <f t="shared" si="14"/>
        <v>10</v>
      </c>
      <c r="I460" s="6">
        <f t="shared" si="15"/>
        <v>-20</v>
      </c>
      <c r="J460" s="2" t="s">
        <v>8</v>
      </c>
    </row>
    <row r="461" spans="1:12" x14ac:dyDescent="0.25">
      <c r="A461" s="1">
        <v>40262</v>
      </c>
      <c r="B461" s="2" t="s">
        <v>61</v>
      </c>
      <c r="C461" t="s">
        <v>50</v>
      </c>
      <c r="D461" t="s">
        <v>208</v>
      </c>
      <c r="E461" s="2">
        <v>45773</v>
      </c>
      <c r="F461" s="2" cm="1">
        <f t="array" ref="F461">_xlfn.IFS(B461="Owner Surrender",E461,B461="Stray",E461+6,B461="Stray w/identification",E461+11,B461="Bite",E461+10,B461="Other",E461+30,B461="BAS",E461+56,B461="Seized",E461)</f>
        <v>45803</v>
      </c>
      <c r="G461" s="2">
        <v>45793</v>
      </c>
      <c r="H461" s="6">
        <f t="shared" si="14"/>
        <v>20</v>
      </c>
      <c r="I461" s="6">
        <f t="shared" si="15"/>
        <v>-10</v>
      </c>
      <c r="J461" s="2" t="s">
        <v>31</v>
      </c>
    </row>
    <row r="462" spans="1:12" x14ac:dyDescent="0.25">
      <c r="A462" s="1">
        <v>40263</v>
      </c>
      <c r="B462" s="2" t="s">
        <v>38</v>
      </c>
      <c r="C462" t="s">
        <v>96</v>
      </c>
      <c r="D462" t="s">
        <v>210</v>
      </c>
      <c r="E462" s="2">
        <v>45774</v>
      </c>
      <c r="F462" s="2" cm="1">
        <f t="array" ref="F462">_xlfn.IFS(B462="Owner Surrender",E462,B462="Stray",E462+6,B462="Stray w/identification",E462+11,B462="Bite",E462+10,B462="Other",E462+30,B462="BAS",E462+56,B462="Seized",E462)</f>
        <v>45780</v>
      </c>
      <c r="G462" s="2">
        <v>45780</v>
      </c>
      <c r="H462" s="6">
        <f t="shared" si="14"/>
        <v>6</v>
      </c>
      <c r="I462" s="6">
        <f t="shared" si="15"/>
        <v>0</v>
      </c>
      <c r="J462" s="2" t="s">
        <v>11</v>
      </c>
    </row>
    <row r="463" spans="1:12" x14ac:dyDescent="0.25">
      <c r="A463" s="1">
        <v>40265</v>
      </c>
      <c r="B463" s="2" t="s">
        <v>38</v>
      </c>
      <c r="C463" t="s">
        <v>50</v>
      </c>
      <c r="D463" t="s">
        <v>208</v>
      </c>
      <c r="E463" s="2">
        <v>45774</v>
      </c>
      <c r="F463" s="2" cm="1">
        <f t="array" ref="F463">_xlfn.IFS(B463="Owner Surrender",E463,B463="Stray",E463+6,B463="Stray w/identification",E463+11,B463="Bite",E463+10,B463="Other",E463+30,B463="BAS",E463+56,B463="Seized",E463)</f>
        <v>45780</v>
      </c>
      <c r="G463" s="2">
        <v>45783</v>
      </c>
      <c r="H463" s="6">
        <f t="shared" si="14"/>
        <v>9</v>
      </c>
      <c r="I463" s="6">
        <f t="shared" si="15"/>
        <v>3</v>
      </c>
      <c r="J463" s="2" t="s">
        <v>31</v>
      </c>
    </row>
    <row r="464" spans="1:12" x14ac:dyDescent="0.25">
      <c r="A464" s="1">
        <v>40267</v>
      </c>
      <c r="B464" s="2" t="s">
        <v>38</v>
      </c>
      <c r="C464" t="s">
        <v>140</v>
      </c>
      <c r="D464" t="s">
        <v>208</v>
      </c>
      <c r="E464" s="2">
        <v>45776</v>
      </c>
      <c r="F464" s="2" cm="1">
        <f t="array" ref="F464">_xlfn.IFS(B464="Owner Surrender",E464,B464="Stray",E464+6,B464="Stray w/identification",E464+11,B464="Bite",E464+10,B464="Other",E464+30,B464="BAS",E464+56,B464="Seized",E464)</f>
        <v>45782</v>
      </c>
      <c r="G464" s="2">
        <v>45806</v>
      </c>
      <c r="H464" s="6">
        <f t="shared" si="14"/>
        <v>30</v>
      </c>
      <c r="I464" s="6">
        <f t="shared" si="15"/>
        <v>24</v>
      </c>
      <c r="J464" s="2" t="s">
        <v>31</v>
      </c>
      <c r="L464" t="s">
        <v>531</v>
      </c>
    </row>
    <row r="465" spans="1:12" x14ac:dyDescent="0.25">
      <c r="A465" s="1">
        <v>40268</v>
      </c>
      <c r="B465" s="2" t="s">
        <v>36</v>
      </c>
      <c r="C465" t="s">
        <v>140</v>
      </c>
      <c r="D465" t="s">
        <v>208</v>
      </c>
      <c r="E465" s="2">
        <v>45776</v>
      </c>
      <c r="F465" s="2" cm="1">
        <f t="array" ref="F465">_xlfn.IFS(B465="Owner Surrender",E465,B465="Stray",E465+6,B465="Stray w/identification",E465+11,B465="Bite",E465+10,B465="Other",E465+30,B465="BAS",E465+56,B465="Seized",E465)</f>
        <v>45776</v>
      </c>
      <c r="G465" s="2">
        <v>45790</v>
      </c>
      <c r="H465" s="6">
        <f t="shared" si="14"/>
        <v>14</v>
      </c>
      <c r="I465" s="6">
        <f t="shared" si="15"/>
        <v>14</v>
      </c>
      <c r="J465" s="2" t="s">
        <v>31</v>
      </c>
      <c r="K465" t="s">
        <v>530</v>
      </c>
    </row>
    <row r="466" spans="1:12" x14ac:dyDescent="0.25">
      <c r="A466" s="1">
        <v>40271</v>
      </c>
      <c r="B466" s="2" t="s">
        <v>38</v>
      </c>
      <c r="C466" t="s">
        <v>49</v>
      </c>
      <c r="D466" t="s">
        <v>211</v>
      </c>
      <c r="E466" s="2">
        <v>45776</v>
      </c>
      <c r="F466" s="2" cm="1">
        <f t="array" ref="F466">_xlfn.IFS(B466="Owner Surrender",E466,B466="Stray",E466+6,B466="Stray w/identification",E466+11,B466="Bite",E466+10,B466="Other",E466+30,B466="BAS",E466+56,B466="Seized",E466)</f>
        <v>45782</v>
      </c>
      <c r="G466" s="2">
        <v>45776</v>
      </c>
      <c r="H466" s="6">
        <f t="shared" si="14"/>
        <v>0</v>
      </c>
      <c r="I466" s="6">
        <f t="shared" si="15"/>
        <v>-6</v>
      </c>
      <c r="J466" s="2" t="s">
        <v>8</v>
      </c>
    </row>
    <row r="467" spans="1:12" x14ac:dyDescent="0.25">
      <c r="A467" s="1">
        <v>40272</v>
      </c>
      <c r="B467" s="2" t="s">
        <v>36</v>
      </c>
      <c r="C467" t="s">
        <v>529</v>
      </c>
      <c r="D467" t="s">
        <v>208</v>
      </c>
      <c r="E467" s="2">
        <v>45776</v>
      </c>
      <c r="F467" s="2" cm="1">
        <f t="array" ref="F467">_xlfn.IFS(B467="Owner Surrender",E467,B467="Stray",E467+6,B467="Stray w/identification",E467+11,B467="Bite",E467+10,B467="Other",E467+30,B467="BAS",E467+56,B467="Seized",E467)</f>
        <v>45776</v>
      </c>
      <c r="G467" s="2">
        <v>45779</v>
      </c>
      <c r="H467" s="6">
        <f t="shared" si="14"/>
        <v>3</v>
      </c>
      <c r="I467" s="6">
        <f t="shared" si="15"/>
        <v>3</v>
      </c>
      <c r="J467" s="2" t="s">
        <v>31</v>
      </c>
    </row>
    <row r="468" spans="1:12" x14ac:dyDescent="0.25">
      <c r="A468" s="3">
        <v>40273</v>
      </c>
      <c r="B468" s="2" t="s">
        <v>42</v>
      </c>
      <c r="C468" t="s">
        <v>50</v>
      </c>
      <c r="D468" t="s">
        <v>208</v>
      </c>
      <c r="E468" s="2">
        <v>45776</v>
      </c>
      <c r="F468" s="2" cm="1">
        <f t="array" ref="F468">_xlfn.IFS(B468="Owner Surrender",E468,B468="Stray",E468+6,B468="Stray w/identification",E468+11,B468="Bite",E468+10,B468="Other",E468+30,B468="BAS",E468+56,B468="Seized",E468)</f>
        <v>45786</v>
      </c>
      <c r="G468" s="2">
        <v>45862</v>
      </c>
      <c r="H468" s="6">
        <f t="shared" si="14"/>
        <v>86</v>
      </c>
      <c r="I468" s="6">
        <f t="shared" si="15"/>
        <v>76</v>
      </c>
      <c r="J468" s="2" t="s">
        <v>8</v>
      </c>
    </row>
    <row r="469" spans="1:12" x14ac:dyDescent="0.25">
      <c r="A469" s="1">
        <v>40274</v>
      </c>
      <c r="B469" s="2" t="s">
        <v>36</v>
      </c>
      <c r="C469" t="s">
        <v>149</v>
      </c>
      <c r="D469" t="s">
        <v>210</v>
      </c>
      <c r="E469" s="2">
        <v>45776</v>
      </c>
      <c r="F469" s="2" cm="1">
        <f t="array" ref="F469">_xlfn.IFS(B469="Owner Surrender",E469,B469="Stray",E469+6,B469="Stray w/identification",E469+11,B469="Bite",E469+10,B469="Other",E469+30,B469="BAS",E469+56,B469="Seized",E469)</f>
        <v>45776</v>
      </c>
      <c r="G469" s="2">
        <v>45783</v>
      </c>
      <c r="H469" s="6">
        <f t="shared" si="14"/>
        <v>7</v>
      </c>
      <c r="I469" s="6">
        <f t="shared" si="15"/>
        <v>7</v>
      </c>
      <c r="J469" s="2" t="s">
        <v>31</v>
      </c>
    </row>
    <row r="470" spans="1:12" x14ac:dyDescent="0.25">
      <c r="A470" s="1">
        <v>40282</v>
      </c>
      <c r="B470" s="2" t="s">
        <v>180</v>
      </c>
      <c r="C470" t="s">
        <v>50</v>
      </c>
      <c r="D470" t="s">
        <v>208</v>
      </c>
      <c r="E470" s="2">
        <v>45779</v>
      </c>
      <c r="F470" s="2" cm="1">
        <f t="array" ref="F470">_xlfn.IFS(B470="Owner Surrender",E470,B470="Stray",E470+6,B470="Stray w/identification",E470+11,B470="Bite",E470+10,B470="Other",E470+30,B470="BAS",E470+56,B470="Seized",E470)</f>
        <v>45790</v>
      </c>
      <c r="G470" s="2">
        <v>45797</v>
      </c>
      <c r="H470" s="6">
        <f t="shared" si="14"/>
        <v>18</v>
      </c>
      <c r="I470" s="6">
        <f t="shared" si="15"/>
        <v>7</v>
      </c>
      <c r="J470" s="2" t="s">
        <v>18</v>
      </c>
      <c r="K470" t="s">
        <v>551</v>
      </c>
    </row>
    <row r="471" spans="1:12" x14ac:dyDescent="0.25">
      <c r="A471" s="1">
        <v>40283</v>
      </c>
      <c r="B471" s="2" t="s">
        <v>36</v>
      </c>
      <c r="C471" t="s">
        <v>76</v>
      </c>
      <c r="D471" t="s">
        <v>208</v>
      </c>
      <c r="E471" s="2">
        <v>45779</v>
      </c>
      <c r="F471" s="2" cm="1">
        <f t="array" ref="F471">_xlfn.IFS(B471="Owner Surrender",E471,B471="Stray",E471+6,B471="Stray w/identification",E471+11,B471="Bite",E471+10,B471="Other",E471+30,B471="BAS",E471+56,B471="Seized",E471)</f>
        <v>45779</v>
      </c>
      <c r="G471" s="2">
        <v>45797</v>
      </c>
      <c r="H471" s="6">
        <f t="shared" si="14"/>
        <v>18</v>
      </c>
      <c r="I471" s="6">
        <f t="shared" si="15"/>
        <v>18</v>
      </c>
      <c r="J471" s="2" t="s">
        <v>31</v>
      </c>
    </row>
    <row r="472" spans="1:12" x14ac:dyDescent="0.25">
      <c r="A472" s="1">
        <v>40306</v>
      </c>
      <c r="B472" s="2" t="s">
        <v>38</v>
      </c>
      <c r="C472" t="s">
        <v>50</v>
      </c>
      <c r="D472" t="s">
        <v>210</v>
      </c>
      <c r="E472" s="2">
        <v>45781</v>
      </c>
      <c r="F472" s="2" cm="1">
        <f t="array" ref="F472">_xlfn.IFS(B472="Owner Surrender",E472,B472="Stray",E472+6,B472="Stray w/identification",E472+11,B472="Bite",E472+10,B472="Other",E472+30,B472="BAS",E472+56,B472="Seized",E472)</f>
        <v>45787</v>
      </c>
      <c r="G472" s="2">
        <v>45782</v>
      </c>
      <c r="H472" s="6">
        <f t="shared" si="14"/>
        <v>1</v>
      </c>
      <c r="I472" s="6">
        <f t="shared" si="15"/>
        <v>-5</v>
      </c>
      <c r="J472" s="2" t="s">
        <v>31</v>
      </c>
      <c r="L472" t="s">
        <v>33</v>
      </c>
    </row>
    <row r="473" spans="1:12" x14ac:dyDescent="0.25">
      <c r="A473" s="1">
        <v>40309</v>
      </c>
      <c r="B473" s="2" t="s">
        <v>38</v>
      </c>
      <c r="C473" t="s">
        <v>71</v>
      </c>
      <c r="D473" t="s">
        <v>209</v>
      </c>
      <c r="E473" s="2">
        <v>45780</v>
      </c>
      <c r="F473" s="2" cm="1">
        <f t="array" ref="F473">_xlfn.IFS(B473="Owner Surrender",E473,B473="Stray",E473+6,B473="Stray w/identification",E473+11,B473="Bite",E473+10,B473="Other",E473+30,B473="BAS",E473+56,B473="Seized",E473)</f>
        <v>45786</v>
      </c>
      <c r="G473" s="2">
        <v>45792</v>
      </c>
      <c r="H473" s="6">
        <f t="shared" si="14"/>
        <v>12</v>
      </c>
      <c r="I473" s="6">
        <f t="shared" si="15"/>
        <v>6</v>
      </c>
      <c r="J473" s="2" t="s">
        <v>31</v>
      </c>
      <c r="K473" t="s">
        <v>550</v>
      </c>
    </row>
    <row r="474" spans="1:12" x14ac:dyDescent="0.25">
      <c r="A474" s="1">
        <v>40310</v>
      </c>
      <c r="B474" s="2" t="s">
        <v>180</v>
      </c>
      <c r="C474" t="s">
        <v>50</v>
      </c>
      <c r="D474" t="s">
        <v>208</v>
      </c>
      <c r="E474" s="2">
        <v>45782</v>
      </c>
      <c r="F474" s="2" cm="1">
        <f t="array" ref="F474">_xlfn.IFS(B474="Owner Surrender",E474,B474="Stray",E474+6,B474="Stray w/identification",E474+11,B474="Bite",E474+10,B474="Other",E474+30,B474="BAS",E474+56,B474="Seized",E474)</f>
        <v>45793</v>
      </c>
      <c r="G474" s="2">
        <v>45783</v>
      </c>
      <c r="H474" s="6">
        <f t="shared" si="14"/>
        <v>1</v>
      </c>
      <c r="I474" s="6">
        <f t="shared" si="15"/>
        <v>-10</v>
      </c>
      <c r="J474" s="2" t="s">
        <v>8</v>
      </c>
    </row>
    <row r="475" spans="1:12" x14ac:dyDescent="0.25">
      <c r="A475" s="1">
        <v>40315</v>
      </c>
      <c r="B475" s="2" t="s">
        <v>180</v>
      </c>
      <c r="C475" t="s">
        <v>72</v>
      </c>
      <c r="D475" t="s">
        <v>208</v>
      </c>
      <c r="E475" s="2">
        <v>45782</v>
      </c>
      <c r="F475" s="2" cm="1">
        <f t="array" ref="F475">_xlfn.IFS(B475="Owner Surrender",E475,B475="Stray",E475+6,B475="Stray w/identification",E475+11,B475="Bite",E475+10,B475="Other",E475+30,B475="BAS",E475+56,B475="Seized",E475)</f>
        <v>45793</v>
      </c>
      <c r="G475" s="2">
        <v>45782</v>
      </c>
      <c r="H475" s="6">
        <f t="shared" si="14"/>
        <v>0</v>
      </c>
      <c r="I475" s="6">
        <f t="shared" si="15"/>
        <v>-11</v>
      </c>
      <c r="J475" s="2" t="s">
        <v>8</v>
      </c>
    </row>
    <row r="476" spans="1:12" x14ac:dyDescent="0.25">
      <c r="A476" s="1">
        <v>40328</v>
      </c>
      <c r="B476" s="2" t="s">
        <v>180</v>
      </c>
      <c r="C476" t="s">
        <v>490</v>
      </c>
      <c r="D476" t="s">
        <v>208</v>
      </c>
      <c r="E476" s="2">
        <v>45782</v>
      </c>
      <c r="F476" s="2" cm="1">
        <f t="array" ref="F476">_xlfn.IFS(B476="Owner Surrender",E476,B476="Stray",E476+6,B476="Stray w/identification",E476+11,B476="Bite",E476+10,B476="Other",E476+30,B476="BAS",E476+56,B476="Seized",E476)</f>
        <v>45793</v>
      </c>
      <c r="G476" s="2">
        <v>45797</v>
      </c>
      <c r="H476" s="6">
        <f t="shared" si="14"/>
        <v>15</v>
      </c>
      <c r="I476" s="6">
        <f t="shared" si="15"/>
        <v>4</v>
      </c>
      <c r="J476" s="2" t="s">
        <v>18</v>
      </c>
    </row>
    <row r="477" spans="1:12" x14ac:dyDescent="0.25">
      <c r="A477" s="1">
        <v>40329</v>
      </c>
      <c r="B477" s="2" t="s">
        <v>36</v>
      </c>
      <c r="C477" t="s">
        <v>56</v>
      </c>
      <c r="D477" t="s">
        <v>208</v>
      </c>
      <c r="E477" s="2">
        <v>45783</v>
      </c>
      <c r="F477" s="2" cm="1">
        <f t="array" ref="F477">_xlfn.IFS(B477="Owner Surrender",E477,B477="Stray",E477+6,B477="Stray w/identification",E477+11,B477="Bite",E477+10,B477="Other",E477+30,B477="BAS",E477+56,B477="Seized",E477)</f>
        <v>45783</v>
      </c>
      <c r="G477" s="2">
        <v>45785</v>
      </c>
      <c r="H477" s="6">
        <f t="shared" si="14"/>
        <v>2</v>
      </c>
      <c r="I477" s="6">
        <f t="shared" si="15"/>
        <v>2</v>
      </c>
      <c r="J477" s="2" t="s">
        <v>31</v>
      </c>
    </row>
    <row r="478" spans="1:12" x14ac:dyDescent="0.25">
      <c r="A478" s="1">
        <v>40330</v>
      </c>
      <c r="B478" s="2" t="s">
        <v>180</v>
      </c>
      <c r="C478" t="s">
        <v>50</v>
      </c>
      <c r="D478" t="s">
        <v>208</v>
      </c>
      <c r="E478" s="2">
        <v>45783</v>
      </c>
      <c r="F478" s="2" cm="1">
        <f t="array" ref="F478">_xlfn.IFS(B478="Owner Surrender",E478,B478="Stray",E478+6,B478="Stray w/identification",E478+11,B478="Bite",E478+10,B478="Other",E478+30,B478="BAS",E478+56,B478="Seized",E478)</f>
        <v>45794</v>
      </c>
      <c r="G478" s="2">
        <v>45783</v>
      </c>
      <c r="H478" s="6">
        <f t="shared" si="14"/>
        <v>0</v>
      </c>
      <c r="I478" s="6">
        <f t="shared" si="15"/>
        <v>-11</v>
      </c>
      <c r="J478" s="2" t="s">
        <v>8</v>
      </c>
    </row>
    <row r="479" spans="1:12" x14ac:dyDescent="0.25">
      <c r="A479" s="1">
        <v>40331</v>
      </c>
      <c r="B479" s="2" t="s">
        <v>38</v>
      </c>
      <c r="C479" t="s">
        <v>51</v>
      </c>
      <c r="D479" t="s">
        <v>208</v>
      </c>
      <c r="E479" s="2">
        <v>45783</v>
      </c>
      <c r="F479" s="2" cm="1">
        <f t="array" ref="F479">_xlfn.IFS(B479="Owner Surrender",E479,B479="Stray",E479+6,B479="Stray w/identification",E479+11,B479="Bite",E479+10,B479="Other",E479+30,B479="BAS",E479+56,B479="Seized",E479)</f>
        <v>45789</v>
      </c>
      <c r="G479" s="2">
        <v>45783</v>
      </c>
      <c r="H479" s="6">
        <f t="shared" si="14"/>
        <v>0</v>
      </c>
      <c r="I479" s="6">
        <f t="shared" si="15"/>
        <v>-6</v>
      </c>
      <c r="J479" s="2" t="s">
        <v>8</v>
      </c>
    </row>
    <row r="480" spans="1:12" x14ac:dyDescent="0.25">
      <c r="A480" s="1">
        <v>40332</v>
      </c>
      <c r="B480" s="2" t="s">
        <v>36</v>
      </c>
      <c r="C480" t="s">
        <v>50</v>
      </c>
      <c r="D480" t="s">
        <v>208</v>
      </c>
      <c r="E480" s="2">
        <v>45783</v>
      </c>
      <c r="F480" s="2" cm="1">
        <f t="array" ref="F480">_xlfn.IFS(B480="Owner Surrender",E480,B480="Stray",E480+6,B480="Stray w/identification",E480+11,B480="Bite",E480+10,B480="Other",E480+30,B480="BAS",E480+56,B480="Seized",E480)</f>
        <v>45783</v>
      </c>
      <c r="G480" s="2">
        <v>45797</v>
      </c>
      <c r="H480" s="6">
        <f t="shared" si="14"/>
        <v>14</v>
      </c>
      <c r="I480" s="6">
        <f t="shared" si="15"/>
        <v>14</v>
      </c>
      <c r="J480" s="2" t="s">
        <v>31</v>
      </c>
    </row>
    <row r="481" spans="1:12" x14ac:dyDescent="0.25">
      <c r="A481" s="1">
        <v>40334</v>
      </c>
      <c r="B481" s="2" t="s">
        <v>36</v>
      </c>
      <c r="C481" t="s">
        <v>49</v>
      </c>
      <c r="D481" t="s">
        <v>208</v>
      </c>
      <c r="E481" s="2">
        <v>45783</v>
      </c>
      <c r="F481" s="2" cm="1">
        <f t="array" ref="F481">_xlfn.IFS(B481="Owner Surrender",E481,B481="Stray",E481+6,B481="Stray w/identification",E481+11,B481="Bite",E481+10,B481="Other",E481+30,B481="BAS",E481+56,B481="Seized",E481)</f>
        <v>45783</v>
      </c>
      <c r="G481" s="2">
        <v>45785</v>
      </c>
      <c r="H481" s="6">
        <f t="shared" si="14"/>
        <v>2</v>
      </c>
      <c r="I481" s="6">
        <f t="shared" si="15"/>
        <v>2</v>
      </c>
      <c r="J481" s="2" t="s">
        <v>31</v>
      </c>
    </row>
    <row r="482" spans="1:12" x14ac:dyDescent="0.25">
      <c r="A482" s="1">
        <v>40335</v>
      </c>
      <c r="B482" s="2" t="s">
        <v>180</v>
      </c>
      <c r="C482" t="s">
        <v>109</v>
      </c>
      <c r="D482" t="s">
        <v>208</v>
      </c>
      <c r="E482" s="2">
        <v>45784</v>
      </c>
      <c r="F482" s="2" cm="1">
        <f t="array" ref="F482">_xlfn.IFS(B482="Owner Surrender",E482,B482="Stray",E482+6,B482="Stray w/identification",E482+11,B482="Bite",E482+10,B482="Other",E482+30,B482="BAS",E482+56,B482="Seized",E482)</f>
        <v>45795</v>
      </c>
      <c r="G482" s="2">
        <v>45785</v>
      </c>
      <c r="H482" s="6">
        <f t="shared" si="14"/>
        <v>1</v>
      </c>
      <c r="I482" s="6">
        <f t="shared" si="15"/>
        <v>-10</v>
      </c>
      <c r="J482" s="2" t="s">
        <v>8</v>
      </c>
    </row>
    <row r="483" spans="1:12" x14ac:dyDescent="0.25">
      <c r="A483" s="1">
        <v>40336</v>
      </c>
      <c r="B483" s="2" t="s">
        <v>180</v>
      </c>
      <c r="C483" t="s">
        <v>109</v>
      </c>
      <c r="D483" t="s">
        <v>210</v>
      </c>
      <c r="E483" s="2">
        <v>45784</v>
      </c>
      <c r="F483" s="2" cm="1">
        <f t="array" ref="F483">_xlfn.IFS(B483="Owner Surrender",E483,B483="Stray",E483+6,B483="Stray w/identification",E483+11,B483="Bite",E483+10,B483="Other",E483+30,B483="BAS",E483+56,B483="Seized",E483)</f>
        <v>45795</v>
      </c>
      <c r="G483" s="2">
        <v>45785</v>
      </c>
      <c r="H483" s="6">
        <f t="shared" si="14"/>
        <v>1</v>
      </c>
      <c r="I483" s="6">
        <f t="shared" si="15"/>
        <v>-10</v>
      </c>
      <c r="J483" s="2" t="s">
        <v>8</v>
      </c>
    </row>
    <row r="484" spans="1:12" x14ac:dyDescent="0.25">
      <c r="A484" s="1">
        <v>40342</v>
      </c>
      <c r="B484" s="2" t="s">
        <v>38</v>
      </c>
      <c r="C484" t="s">
        <v>50</v>
      </c>
      <c r="D484" t="s">
        <v>208</v>
      </c>
      <c r="E484" s="2">
        <v>45784</v>
      </c>
      <c r="F484" s="2" cm="1">
        <f t="array" ref="F484">_xlfn.IFS(B484="Owner Surrender",E484,B484="Stray",E484+6,B484="Stray w/identification",E484+11,B484="Bite",E484+10,B484="Other",E484+30,B484="BAS",E484+56,B484="Seized",E484)</f>
        <v>45790</v>
      </c>
      <c r="G484" s="2">
        <v>45797</v>
      </c>
      <c r="H484" s="6">
        <f t="shared" si="14"/>
        <v>13</v>
      </c>
      <c r="I484" s="6">
        <f t="shared" si="15"/>
        <v>7</v>
      </c>
      <c r="J484" s="2" t="s">
        <v>31</v>
      </c>
    </row>
    <row r="485" spans="1:12" x14ac:dyDescent="0.25">
      <c r="A485" s="1">
        <v>40349</v>
      </c>
      <c r="B485" s="2" t="s">
        <v>36</v>
      </c>
      <c r="C485" t="s">
        <v>50</v>
      </c>
      <c r="D485" t="s">
        <v>208</v>
      </c>
      <c r="E485" s="2">
        <v>45784</v>
      </c>
      <c r="F485" s="2" cm="1">
        <f t="array" ref="F485">_xlfn.IFS(B485="Owner Surrender",E485,B485="Stray",E485+6,B485="Stray w/identification",E485+11,B485="Bite",E485+10,B485="Other",E485+30,B485="BAS",E485+56,B485="Seized",E485)</f>
        <v>45784</v>
      </c>
      <c r="G485" s="2">
        <v>45790</v>
      </c>
      <c r="H485" s="6">
        <f t="shared" si="14"/>
        <v>6</v>
      </c>
      <c r="I485" s="6">
        <f t="shared" si="15"/>
        <v>6</v>
      </c>
      <c r="J485" s="2" t="s">
        <v>31</v>
      </c>
    </row>
    <row r="486" spans="1:12" x14ac:dyDescent="0.25">
      <c r="A486" s="1">
        <v>40351</v>
      </c>
      <c r="B486" s="2" t="s">
        <v>36</v>
      </c>
      <c r="C486" t="s">
        <v>49</v>
      </c>
      <c r="D486" t="s">
        <v>208</v>
      </c>
      <c r="E486" s="2">
        <v>45784</v>
      </c>
      <c r="F486" s="2" cm="1">
        <f t="array" ref="F486">_xlfn.IFS(B486="Owner Surrender",E486,B486="Stray",E486+6,B486="Stray w/identification",E486+11,B486="Bite",E486+10,B486="Other",E486+30,B486="BAS",E486+56,B486="Seized",E486)</f>
        <v>45784</v>
      </c>
      <c r="G486" s="2">
        <v>45790</v>
      </c>
      <c r="H486" s="6">
        <f t="shared" si="14"/>
        <v>6</v>
      </c>
      <c r="I486" s="6">
        <f t="shared" si="15"/>
        <v>6</v>
      </c>
      <c r="J486" s="2" t="s">
        <v>31</v>
      </c>
      <c r="K486" t="s">
        <v>549</v>
      </c>
    </row>
    <row r="487" spans="1:12" x14ac:dyDescent="0.25">
      <c r="A487" s="1">
        <v>40352</v>
      </c>
      <c r="B487" s="2" t="s">
        <v>180</v>
      </c>
      <c r="C487" t="s">
        <v>422</v>
      </c>
      <c r="D487" t="s">
        <v>210</v>
      </c>
      <c r="E487" s="2">
        <v>45784</v>
      </c>
      <c r="F487" s="2" cm="1">
        <f t="array" ref="F487">_xlfn.IFS(B487="Owner Surrender",E487,B487="Stray",E487+6,B487="Stray w/identification",E487+11,B487="Bite",E487+10,B487="Other",E487+30,B487="BAS",E487+56,B487="Seized",E487)</f>
        <v>45795</v>
      </c>
      <c r="G487" s="2">
        <v>45805</v>
      </c>
      <c r="H487" s="6">
        <f t="shared" si="14"/>
        <v>21</v>
      </c>
      <c r="I487" s="6">
        <f t="shared" si="15"/>
        <v>10</v>
      </c>
      <c r="J487" s="2" t="s">
        <v>31</v>
      </c>
    </row>
    <row r="488" spans="1:12" x14ac:dyDescent="0.25">
      <c r="A488" s="3">
        <v>40353</v>
      </c>
      <c r="B488" s="2" t="s">
        <v>36</v>
      </c>
      <c r="C488" t="s">
        <v>50</v>
      </c>
      <c r="D488" t="s">
        <v>209</v>
      </c>
      <c r="E488" s="2">
        <v>45785</v>
      </c>
      <c r="F488" s="2" cm="1">
        <f t="array" ref="F488">_xlfn.IFS(B488="Owner Surrender",E488,B488="Stray",E488+6,B488="Stray w/identification",E488+11,B488="Bite",E488+10,B488="Other",E488+30,B488="BAS",E488+56,B488="Seized",E488)</f>
        <v>45785</v>
      </c>
      <c r="G488" s="2">
        <v>45854</v>
      </c>
      <c r="H488" s="6">
        <f t="shared" si="14"/>
        <v>69</v>
      </c>
      <c r="I488" s="6">
        <f t="shared" si="15"/>
        <v>69</v>
      </c>
      <c r="J488" s="2" t="s">
        <v>11</v>
      </c>
    </row>
    <row r="489" spans="1:12" x14ac:dyDescent="0.25">
      <c r="A489" s="3">
        <v>40354</v>
      </c>
      <c r="B489" s="2" t="s">
        <v>36</v>
      </c>
      <c r="C489" t="s">
        <v>50</v>
      </c>
      <c r="D489" t="s">
        <v>209</v>
      </c>
      <c r="E489" s="2">
        <v>45785</v>
      </c>
      <c r="F489" s="2" cm="1">
        <f t="array" ref="F489">_xlfn.IFS(B489="Owner Surrender",E489,B489="Stray",E489+6,B489="Stray w/identification",E489+11,B489="Bite",E489+10,B489="Other",E489+30,B489="BAS",E489+56,B489="Seized",E489)</f>
        <v>45785</v>
      </c>
      <c r="G489" s="2">
        <v>45859</v>
      </c>
      <c r="H489" s="6">
        <f t="shared" si="14"/>
        <v>74</v>
      </c>
      <c r="I489" s="6">
        <f t="shared" si="15"/>
        <v>74</v>
      </c>
      <c r="J489" s="2" t="s">
        <v>18</v>
      </c>
      <c r="K489" t="s">
        <v>548</v>
      </c>
      <c r="L489" t="s">
        <v>85</v>
      </c>
    </row>
    <row r="490" spans="1:12" x14ac:dyDescent="0.25">
      <c r="A490" s="1">
        <v>40355</v>
      </c>
      <c r="B490" s="2" t="s">
        <v>36</v>
      </c>
      <c r="C490" t="s">
        <v>76</v>
      </c>
      <c r="D490" t="s">
        <v>208</v>
      </c>
      <c r="E490" s="2">
        <v>45785</v>
      </c>
      <c r="F490" s="2" cm="1">
        <f t="array" ref="F490">_xlfn.IFS(B490="Owner Surrender",E490,B490="Stray",E490+6,B490="Stray w/identification",E490+11,B490="Bite",E490+10,B490="Other",E490+30,B490="BAS",E490+56,B490="Seized",E490)</f>
        <v>45785</v>
      </c>
      <c r="G490" s="2">
        <v>45797</v>
      </c>
      <c r="H490" s="6">
        <f t="shared" si="14"/>
        <v>12</v>
      </c>
      <c r="I490" s="6">
        <f t="shared" si="15"/>
        <v>12</v>
      </c>
      <c r="J490" s="2" t="s">
        <v>31</v>
      </c>
    </row>
    <row r="491" spans="1:12" x14ac:dyDescent="0.25">
      <c r="A491" s="1">
        <v>40356</v>
      </c>
      <c r="B491" s="2" t="s">
        <v>38</v>
      </c>
      <c r="C491" t="s">
        <v>50</v>
      </c>
      <c r="D491" t="s">
        <v>208</v>
      </c>
      <c r="E491" s="2">
        <v>45785</v>
      </c>
      <c r="F491" s="2" cm="1">
        <f t="array" ref="F491">_xlfn.IFS(B491="Owner Surrender",E491,B491="Stray",E491+6,B491="Stray w/identification",E491+11,B491="Bite",E491+10,B491="Other",E491+30,B491="BAS",E491+56,B491="Seized",E491)</f>
        <v>45791</v>
      </c>
      <c r="G491" s="2">
        <v>45789</v>
      </c>
      <c r="H491" s="6">
        <f t="shared" si="14"/>
        <v>4</v>
      </c>
      <c r="I491" s="6">
        <f t="shared" si="15"/>
        <v>-2</v>
      </c>
      <c r="J491" s="2" t="s">
        <v>8</v>
      </c>
    </row>
    <row r="492" spans="1:12" x14ac:dyDescent="0.25">
      <c r="A492" s="1">
        <v>40357</v>
      </c>
      <c r="B492" s="2" t="s">
        <v>38</v>
      </c>
      <c r="C492" t="s">
        <v>50</v>
      </c>
      <c r="D492" t="s">
        <v>208</v>
      </c>
      <c r="E492" s="2">
        <v>45785</v>
      </c>
      <c r="F492" s="2" cm="1">
        <f t="array" ref="F492">_xlfn.IFS(B492="Owner Surrender",E492,B492="Stray",E492+6,B492="Stray w/identification",E492+11,B492="Bite",E492+10,B492="Other",E492+30,B492="BAS",E492+56,B492="Seized",E492)</f>
        <v>45791</v>
      </c>
      <c r="G492" s="2">
        <v>45785</v>
      </c>
      <c r="H492" s="6">
        <f t="shared" si="14"/>
        <v>0</v>
      </c>
      <c r="I492" s="6">
        <f t="shared" si="15"/>
        <v>-6</v>
      </c>
      <c r="J492" s="2" t="s">
        <v>8</v>
      </c>
    </row>
    <row r="493" spans="1:12" x14ac:dyDescent="0.25">
      <c r="A493" s="1">
        <v>40358</v>
      </c>
      <c r="B493" s="2" t="s">
        <v>36</v>
      </c>
      <c r="C493" t="s">
        <v>514</v>
      </c>
      <c r="D493" t="s">
        <v>209</v>
      </c>
      <c r="E493" s="2">
        <v>45785</v>
      </c>
      <c r="F493" s="2" cm="1">
        <f t="array" ref="F493">_xlfn.IFS(B493="Owner Surrender",E493,B493="Stray",E493+6,B493="Stray w/identification",E493+11,B493="Bite",E493+10,B493="Other",E493+30,B493="BAS",E493+56,B493="Seized",E493)</f>
        <v>45785</v>
      </c>
      <c r="G493" s="2">
        <v>45805</v>
      </c>
      <c r="H493" s="6">
        <f t="shared" si="14"/>
        <v>20</v>
      </c>
      <c r="I493" s="6">
        <f t="shared" si="15"/>
        <v>20</v>
      </c>
      <c r="J493" s="2" t="s">
        <v>31</v>
      </c>
    </row>
    <row r="494" spans="1:12" x14ac:dyDescent="0.25">
      <c r="A494" s="1">
        <v>40359</v>
      </c>
      <c r="B494" s="2" t="s">
        <v>36</v>
      </c>
      <c r="C494" t="s">
        <v>109</v>
      </c>
      <c r="D494" t="s">
        <v>208</v>
      </c>
      <c r="E494" s="2">
        <v>45786</v>
      </c>
      <c r="F494" s="2" cm="1">
        <f t="array" ref="F494">_xlfn.IFS(B494="Owner Surrender",E494,B494="Stray",E494+6,B494="Stray w/identification",E494+11,B494="Bite",E494+10,B494="Other",E494+30,B494="BAS",E494+56,B494="Seized",E494)</f>
        <v>45786</v>
      </c>
      <c r="G494" s="2">
        <v>45789</v>
      </c>
      <c r="H494" s="6">
        <f t="shared" si="14"/>
        <v>3</v>
      </c>
      <c r="I494" s="6">
        <f t="shared" si="15"/>
        <v>3</v>
      </c>
      <c r="J494" s="2" t="s">
        <v>31</v>
      </c>
    </row>
    <row r="495" spans="1:12" x14ac:dyDescent="0.25">
      <c r="A495" s="1">
        <v>40363</v>
      </c>
      <c r="B495" s="2" t="s">
        <v>36</v>
      </c>
      <c r="C495" t="s">
        <v>50</v>
      </c>
      <c r="D495" t="s">
        <v>208</v>
      </c>
      <c r="E495" s="2">
        <v>45787</v>
      </c>
      <c r="F495" s="2" cm="1">
        <f t="array" ref="F495">_xlfn.IFS(B495="Owner Surrender",E495,B495="Stray",E495+6,B495="Stray w/identification",E495+11,B495="Bite",E495+10,B495="Other",E495+30,B495="BAS",E495+56,B495="Seized",E495)</f>
        <v>45787</v>
      </c>
      <c r="G495" s="2">
        <v>45790</v>
      </c>
      <c r="H495" s="6">
        <f t="shared" si="14"/>
        <v>3</v>
      </c>
      <c r="I495" s="6">
        <f t="shared" si="15"/>
        <v>3</v>
      </c>
      <c r="J495" s="2" t="s">
        <v>18</v>
      </c>
      <c r="K495" t="s">
        <v>547</v>
      </c>
    </row>
    <row r="496" spans="1:12" x14ac:dyDescent="0.25">
      <c r="A496" s="1">
        <v>40364</v>
      </c>
      <c r="B496" s="2" t="s">
        <v>38</v>
      </c>
      <c r="C496" t="s">
        <v>509</v>
      </c>
      <c r="D496" t="s">
        <v>208</v>
      </c>
      <c r="E496" s="2">
        <v>45788</v>
      </c>
      <c r="F496" s="2" cm="1">
        <f t="array" ref="F496">_xlfn.IFS(B496="Owner Surrender",E496,B496="Stray",E496+6,B496="Stray w/identification",E496+11,B496="Bite",E496+10,B496="Other",E496+30,B496="BAS",E496+56,B496="Seized",E496)</f>
        <v>45794</v>
      </c>
      <c r="G496" s="2">
        <v>45792</v>
      </c>
      <c r="H496" s="6">
        <f t="shared" si="14"/>
        <v>4</v>
      </c>
      <c r="I496" s="6">
        <f t="shared" si="15"/>
        <v>-2</v>
      </c>
      <c r="J496" s="2" t="s">
        <v>31</v>
      </c>
      <c r="L496" t="s">
        <v>398</v>
      </c>
    </row>
    <row r="497" spans="1:12" x14ac:dyDescent="0.25">
      <c r="A497" s="1">
        <v>40368</v>
      </c>
      <c r="B497" s="2" t="s">
        <v>38</v>
      </c>
      <c r="C497" t="s">
        <v>79</v>
      </c>
      <c r="D497" t="s">
        <v>208</v>
      </c>
      <c r="E497" s="2">
        <v>45788</v>
      </c>
      <c r="F497" s="2" cm="1">
        <f t="array" ref="F497">_xlfn.IFS(B497="Owner Surrender",E497,B497="Stray",E497+6,B497="Stray w/identification",E497+11,B497="Bite",E497+10,B497="Other",E497+30,B497="BAS",E497+56,B497="Seized",E497)</f>
        <v>45794</v>
      </c>
      <c r="G497" s="2">
        <v>45789</v>
      </c>
      <c r="H497" s="6">
        <f t="shared" si="14"/>
        <v>1</v>
      </c>
      <c r="I497" s="6">
        <f t="shared" si="15"/>
        <v>-5</v>
      </c>
      <c r="J497" s="2" t="s">
        <v>8</v>
      </c>
    </row>
    <row r="498" spans="1:12" x14ac:dyDescent="0.25">
      <c r="A498" s="1">
        <v>40374</v>
      </c>
      <c r="B498" s="2" t="s">
        <v>36</v>
      </c>
      <c r="C498" t="s">
        <v>546</v>
      </c>
      <c r="D498" t="s">
        <v>208</v>
      </c>
      <c r="E498" s="2">
        <v>45788</v>
      </c>
      <c r="F498" s="2" cm="1">
        <f t="array" ref="F498">_xlfn.IFS(B498="Owner Surrender",E498,B498="Stray",E498+6,B498="Stray w/identification",E498+11,B498="Bite",E498+10,B498="Other",E498+30,B498="BAS",E498+56,B498="Seized",E498)</f>
        <v>45788</v>
      </c>
      <c r="G498" s="2">
        <v>45793</v>
      </c>
      <c r="H498" s="6">
        <f t="shared" si="14"/>
        <v>5</v>
      </c>
      <c r="I498" s="6">
        <f t="shared" si="15"/>
        <v>5</v>
      </c>
      <c r="J498" s="2" t="s">
        <v>11</v>
      </c>
    </row>
    <row r="499" spans="1:12" x14ac:dyDescent="0.25">
      <c r="A499" s="1">
        <v>40379</v>
      </c>
      <c r="B499" s="2" t="s">
        <v>36</v>
      </c>
      <c r="C499" t="s">
        <v>149</v>
      </c>
      <c r="D499" t="s">
        <v>208</v>
      </c>
      <c r="E499" s="2">
        <v>45789</v>
      </c>
      <c r="F499" s="2" cm="1">
        <f t="array" ref="F499">_xlfn.IFS(B499="Owner Surrender",E499,B499="Stray",E499+6,B499="Stray w/identification",E499+11,B499="Bite",E499+10,B499="Other",E499+30,B499="BAS",E499+56,B499="Seized",E499)</f>
        <v>45789</v>
      </c>
      <c r="G499" s="2">
        <v>45790</v>
      </c>
      <c r="H499" s="6">
        <f t="shared" si="14"/>
        <v>1</v>
      </c>
      <c r="I499" s="6">
        <f t="shared" si="15"/>
        <v>1</v>
      </c>
      <c r="J499" s="2" t="s">
        <v>18</v>
      </c>
    </row>
    <row r="500" spans="1:12" x14ac:dyDescent="0.25">
      <c r="A500" s="1">
        <v>40380</v>
      </c>
      <c r="B500" s="2" t="s">
        <v>38</v>
      </c>
      <c r="C500" t="s">
        <v>50</v>
      </c>
      <c r="D500" t="s">
        <v>208</v>
      </c>
      <c r="E500" s="2">
        <v>45789</v>
      </c>
      <c r="F500" s="2" cm="1">
        <f t="array" ref="F500">_xlfn.IFS(B500="Owner Surrender",E500,B500="Stray",E500+6,B500="Stray w/identification",E500+11,B500="Bite",E500+10,B500="Other",E500+30,B500="BAS",E500+56,B500="Seized",E500)</f>
        <v>45795</v>
      </c>
      <c r="G500" s="2">
        <v>45796</v>
      </c>
      <c r="H500" s="6">
        <f t="shared" si="14"/>
        <v>7</v>
      </c>
      <c r="I500" s="6">
        <f t="shared" si="15"/>
        <v>1</v>
      </c>
      <c r="J500" s="2" t="s">
        <v>31</v>
      </c>
    </row>
    <row r="501" spans="1:12" x14ac:dyDescent="0.25">
      <c r="A501" s="1">
        <v>40383</v>
      </c>
      <c r="B501" s="2" t="s">
        <v>36</v>
      </c>
      <c r="C501" t="s">
        <v>49</v>
      </c>
      <c r="D501" t="s">
        <v>208</v>
      </c>
      <c r="E501" s="2">
        <v>45789</v>
      </c>
      <c r="F501" s="2" cm="1">
        <f t="array" ref="F501">_xlfn.IFS(B501="Owner Surrender",E501,B501="Stray",E501+6,B501="Stray w/identification",E501+11,B501="Bite",E501+10,B501="Other",E501+30,B501="BAS",E501+56,B501="Seized",E501)</f>
        <v>45789</v>
      </c>
      <c r="G501" s="2">
        <v>45793</v>
      </c>
      <c r="H501" s="6">
        <f t="shared" si="14"/>
        <v>4</v>
      </c>
      <c r="I501" s="6">
        <f t="shared" si="15"/>
        <v>4</v>
      </c>
      <c r="J501" s="2" t="s">
        <v>31</v>
      </c>
    </row>
    <row r="502" spans="1:12" x14ac:dyDescent="0.25">
      <c r="A502" s="1">
        <v>40384</v>
      </c>
      <c r="B502" s="2" t="s">
        <v>36</v>
      </c>
      <c r="C502" t="s">
        <v>49</v>
      </c>
      <c r="D502" t="s">
        <v>208</v>
      </c>
      <c r="E502" s="2">
        <v>45789</v>
      </c>
      <c r="F502" s="2" cm="1">
        <f t="array" ref="F502">_xlfn.IFS(B502="Owner Surrender",E502,B502="Stray",E502+6,B502="Stray w/identification",E502+11,B502="Bite",E502+10,B502="Other",E502+30,B502="BAS",E502+56,B502="Seized",E502)</f>
        <v>45789</v>
      </c>
      <c r="G502" s="2">
        <v>45793</v>
      </c>
      <c r="H502" s="6">
        <f t="shared" si="14"/>
        <v>4</v>
      </c>
      <c r="I502" s="6">
        <f t="shared" si="15"/>
        <v>4</v>
      </c>
      <c r="J502" s="2" t="s">
        <v>31</v>
      </c>
    </row>
    <row r="503" spans="1:12" x14ac:dyDescent="0.25">
      <c r="A503" s="1">
        <v>40385</v>
      </c>
      <c r="B503" s="2" t="s">
        <v>180</v>
      </c>
      <c r="C503" t="s">
        <v>50</v>
      </c>
      <c r="D503" t="s">
        <v>208</v>
      </c>
      <c r="E503" s="2">
        <v>45789</v>
      </c>
      <c r="F503" s="2" cm="1">
        <f t="array" ref="F503">_xlfn.IFS(B503="Owner Surrender",E503,B503="Stray",E503+6,B503="Stray w/identification",E503+11,B503="Bite",E503+10,B503="Other",E503+30,B503="BAS",E503+56,B503="Seized",E503)</f>
        <v>45800</v>
      </c>
      <c r="G503" s="2">
        <v>45790</v>
      </c>
      <c r="H503" s="6">
        <f t="shared" si="14"/>
        <v>1</v>
      </c>
      <c r="I503" s="6">
        <f t="shared" si="15"/>
        <v>-10</v>
      </c>
      <c r="J503" s="2" t="s">
        <v>8</v>
      </c>
    </row>
    <row r="504" spans="1:12" x14ac:dyDescent="0.25">
      <c r="A504" s="1">
        <v>40386</v>
      </c>
      <c r="B504" s="2" t="s">
        <v>38</v>
      </c>
      <c r="C504" t="s">
        <v>50</v>
      </c>
      <c r="D504" t="s">
        <v>209</v>
      </c>
      <c r="E504" s="2">
        <v>45790</v>
      </c>
      <c r="F504" s="2" cm="1">
        <f t="array" ref="F504">_xlfn.IFS(B504="Owner Surrender",E504,B504="Stray",E504+6,B504="Stray w/identification",E504+11,B504="Bite",E504+10,B504="Other",E504+30,B504="BAS",E504+56,B504="Seized",E504)</f>
        <v>45796</v>
      </c>
      <c r="G504" s="2">
        <v>45807</v>
      </c>
      <c r="H504" s="6">
        <f t="shared" si="14"/>
        <v>17</v>
      </c>
      <c r="I504" s="6">
        <f t="shared" si="15"/>
        <v>11</v>
      </c>
      <c r="J504" s="2" t="s">
        <v>31</v>
      </c>
    </row>
    <row r="505" spans="1:12" x14ac:dyDescent="0.25">
      <c r="A505" s="1">
        <v>40387</v>
      </c>
      <c r="B505" s="2" t="s">
        <v>38</v>
      </c>
      <c r="C505" t="s">
        <v>49</v>
      </c>
      <c r="D505" t="s">
        <v>208</v>
      </c>
      <c r="E505" s="2">
        <v>45790</v>
      </c>
      <c r="F505" s="2" cm="1">
        <f t="array" ref="F505">_xlfn.IFS(B505="Owner Surrender",E505,B505="Stray",E505+6,B505="Stray w/identification",E505+11,B505="Bite",E505+10,B505="Other",E505+30,B505="BAS",E505+56,B505="Seized",E505)</f>
        <v>45796</v>
      </c>
      <c r="G505" s="2">
        <v>45800</v>
      </c>
      <c r="H505" s="6">
        <f t="shared" si="14"/>
        <v>10</v>
      </c>
      <c r="I505" s="6">
        <f t="shared" si="15"/>
        <v>4</v>
      </c>
      <c r="J505" s="2" t="s">
        <v>31</v>
      </c>
      <c r="K505" t="s">
        <v>545</v>
      </c>
    </row>
    <row r="506" spans="1:12" x14ac:dyDescent="0.25">
      <c r="A506" s="1">
        <v>40389</v>
      </c>
      <c r="B506" s="2" t="s">
        <v>36</v>
      </c>
      <c r="C506" t="s">
        <v>76</v>
      </c>
      <c r="D506" t="s">
        <v>208</v>
      </c>
      <c r="E506" s="2">
        <v>45790</v>
      </c>
      <c r="F506" s="2" cm="1">
        <f t="array" ref="F506">_xlfn.IFS(B506="Owner Surrender",E506,B506="Stray",E506+6,B506="Stray w/identification",E506+11,B506="Bite",E506+10,B506="Other",E506+30,B506="BAS",E506+56,B506="Seized",E506)</f>
        <v>45790</v>
      </c>
      <c r="G506" s="2">
        <v>45793</v>
      </c>
      <c r="H506" s="6">
        <f t="shared" si="14"/>
        <v>3</v>
      </c>
      <c r="I506" s="6">
        <f t="shared" si="15"/>
        <v>3</v>
      </c>
      <c r="J506" s="2" t="s">
        <v>31</v>
      </c>
    </row>
    <row r="507" spans="1:12" x14ac:dyDescent="0.25">
      <c r="A507" s="1">
        <v>40391</v>
      </c>
      <c r="B507" s="2" t="s">
        <v>36</v>
      </c>
      <c r="C507" t="s">
        <v>56</v>
      </c>
      <c r="D507" t="s">
        <v>208</v>
      </c>
      <c r="E507" s="2">
        <v>45790</v>
      </c>
      <c r="F507" s="2" cm="1">
        <f t="array" ref="F507">_xlfn.IFS(B507="Owner Surrender",E507,B507="Stray",E507+6,B507="Stray w/identification",E507+11,B507="Bite",E507+10,B507="Other",E507+30,B507="BAS",E507+56,B507="Seized",E507)</f>
        <v>45790</v>
      </c>
      <c r="G507" s="2">
        <v>45812</v>
      </c>
      <c r="H507" s="6">
        <f t="shared" si="14"/>
        <v>22</v>
      </c>
      <c r="I507" s="6">
        <f t="shared" si="15"/>
        <v>22</v>
      </c>
      <c r="J507" s="2" t="s">
        <v>31</v>
      </c>
      <c r="K507" t="s">
        <v>442</v>
      </c>
    </row>
    <row r="508" spans="1:12" x14ac:dyDescent="0.25">
      <c r="A508" s="1">
        <v>40392</v>
      </c>
      <c r="B508" s="2" t="s">
        <v>36</v>
      </c>
      <c r="C508" t="s">
        <v>168</v>
      </c>
      <c r="D508" t="s">
        <v>211</v>
      </c>
      <c r="E508" s="2">
        <v>45790</v>
      </c>
      <c r="F508" s="2" cm="1">
        <f t="array" ref="F508">_xlfn.IFS(B508="Owner Surrender",E508,B508="Stray",E508+6,B508="Stray w/identification",E508+11,B508="Bite",E508+10,B508="Other",E508+30,B508="BAS",E508+56,B508="Seized",E508)</f>
        <v>45790</v>
      </c>
      <c r="G508" s="2">
        <v>45790</v>
      </c>
      <c r="H508" s="6">
        <f t="shared" si="14"/>
        <v>0</v>
      </c>
      <c r="I508" s="6">
        <f t="shared" si="15"/>
        <v>0</v>
      </c>
      <c r="J508" s="2" t="s">
        <v>31</v>
      </c>
      <c r="L508" t="s">
        <v>544</v>
      </c>
    </row>
    <row r="509" spans="1:12" x14ac:dyDescent="0.25">
      <c r="A509" s="1">
        <v>40394</v>
      </c>
      <c r="B509" s="2" t="s">
        <v>36</v>
      </c>
      <c r="C509" t="s">
        <v>108</v>
      </c>
      <c r="D509" t="s">
        <v>208</v>
      </c>
      <c r="E509" s="2">
        <v>45790</v>
      </c>
      <c r="F509" s="2" cm="1">
        <f t="array" ref="F509">_xlfn.IFS(B509="Owner Surrender",E509,B509="Stray",E509+6,B509="Stray w/identification",E509+11,B509="Bite",E509+10,B509="Other",E509+30,B509="BAS",E509+56,B509="Seized",E509)</f>
        <v>45790</v>
      </c>
      <c r="G509" s="2">
        <v>45797</v>
      </c>
      <c r="H509" s="6">
        <f t="shared" si="14"/>
        <v>7</v>
      </c>
      <c r="I509" s="6">
        <f t="shared" si="15"/>
        <v>7</v>
      </c>
      <c r="J509" s="2" t="s">
        <v>31</v>
      </c>
      <c r="K509" t="s">
        <v>356</v>
      </c>
    </row>
    <row r="510" spans="1:12" x14ac:dyDescent="0.25">
      <c r="A510" s="1">
        <v>40396</v>
      </c>
      <c r="B510" s="2" t="s">
        <v>38</v>
      </c>
      <c r="C510" t="s">
        <v>83</v>
      </c>
      <c r="D510" t="s">
        <v>208</v>
      </c>
      <c r="E510" s="2">
        <v>45790</v>
      </c>
      <c r="F510" s="2" cm="1">
        <f t="array" ref="F510">_xlfn.IFS(B510="Owner Surrender",E510,B510="Stray",E510+6,B510="Stray w/identification",E510+11,B510="Bite",E510+10,B510="Other",E510+30,B510="BAS",E510+56,B510="Seized",E510)</f>
        <v>45796</v>
      </c>
      <c r="G510" s="2">
        <v>45796</v>
      </c>
      <c r="H510" s="6">
        <f t="shared" si="14"/>
        <v>6</v>
      </c>
      <c r="I510" s="6">
        <f t="shared" si="15"/>
        <v>0</v>
      </c>
      <c r="J510" s="2" t="s">
        <v>18</v>
      </c>
      <c r="K510" t="s">
        <v>154</v>
      </c>
    </row>
    <row r="511" spans="1:12" x14ac:dyDescent="0.25">
      <c r="A511" s="1">
        <v>40397</v>
      </c>
      <c r="B511" s="2" t="s">
        <v>36</v>
      </c>
      <c r="C511" t="s">
        <v>175</v>
      </c>
      <c r="D511" t="s">
        <v>211</v>
      </c>
      <c r="E511" s="2">
        <v>45791</v>
      </c>
      <c r="F511" s="2" cm="1">
        <f t="array" ref="F511">_xlfn.IFS(B511="Owner Surrender",E511,B511="Stray",E511+6,B511="Stray w/identification",E511+11,B511="Bite",E511+10,B511="Other",E511+30,B511="BAS",E511+56,B511="Seized",E511)</f>
        <v>45791</v>
      </c>
      <c r="G511" s="2">
        <v>45793</v>
      </c>
      <c r="H511" s="6">
        <f t="shared" si="14"/>
        <v>2</v>
      </c>
      <c r="I511" s="6">
        <f t="shared" si="15"/>
        <v>2</v>
      </c>
      <c r="J511" s="2" t="s">
        <v>31</v>
      </c>
    </row>
    <row r="512" spans="1:12" x14ac:dyDescent="0.25">
      <c r="A512" s="1">
        <v>40398</v>
      </c>
      <c r="B512" s="2" t="s">
        <v>180</v>
      </c>
      <c r="C512" t="s">
        <v>52</v>
      </c>
      <c r="D512" t="s">
        <v>208</v>
      </c>
      <c r="E512" s="2">
        <v>45791</v>
      </c>
      <c r="F512" s="2" cm="1">
        <f t="array" ref="F512">_xlfn.IFS(B512="Owner Surrender",E512,B512="Stray",E512+6,B512="Stray w/identification",E512+11,B512="Bite",E512+10,B512="Other",E512+30,B512="BAS",E512+56,B512="Seized",E512)</f>
        <v>45802</v>
      </c>
      <c r="G512" s="2">
        <v>45791</v>
      </c>
      <c r="H512" s="6">
        <f t="shared" si="14"/>
        <v>0</v>
      </c>
      <c r="I512" s="6">
        <f t="shared" si="15"/>
        <v>-11</v>
      </c>
      <c r="J512" s="2" t="s">
        <v>8</v>
      </c>
    </row>
    <row r="513" spans="1:12" x14ac:dyDescent="0.25">
      <c r="A513" s="1">
        <v>40403</v>
      </c>
      <c r="B513" s="2" t="s">
        <v>36</v>
      </c>
      <c r="C513" t="s">
        <v>509</v>
      </c>
      <c r="D513" t="s">
        <v>209</v>
      </c>
      <c r="E513" s="2">
        <v>45791</v>
      </c>
      <c r="F513" s="2" cm="1">
        <f t="array" ref="F513">_xlfn.IFS(B513="Owner Surrender",E513,B513="Stray",E513+6,B513="Stray w/identification",E513+11,B513="Bite",E513+10,B513="Other",E513+30,B513="BAS",E513+56,B513="Seized",E513)</f>
        <v>45791</v>
      </c>
      <c r="G513" s="2">
        <v>45792</v>
      </c>
      <c r="H513" s="6">
        <f t="shared" si="14"/>
        <v>1</v>
      </c>
      <c r="I513" s="6">
        <f t="shared" si="15"/>
        <v>1</v>
      </c>
      <c r="J513" s="2" t="s">
        <v>31</v>
      </c>
    </row>
    <row r="514" spans="1:12" x14ac:dyDescent="0.25">
      <c r="A514" s="1">
        <v>40404</v>
      </c>
      <c r="B514" s="2" t="s">
        <v>36</v>
      </c>
      <c r="C514" t="s">
        <v>509</v>
      </c>
      <c r="D514" t="s">
        <v>209</v>
      </c>
      <c r="E514" s="2">
        <v>45791</v>
      </c>
      <c r="F514" s="2" cm="1">
        <f t="array" ref="F514">_xlfn.IFS(B514="Owner Surrender",E514,B514="Stray",E514+6,B514="Stray w/identification",E514+11,B514="Bite",E514+10,B514="Other",E514+30,B514="BAS",E514+56,B514="Seized",E514)</f>
        <v>45791</v>
      </c>
      <c r="G514" s="2">
        <v>45792</v>
      </c>
      <c r="H514" s="6">
        <f t="shared" si="14"/>
        <v>1</v>
      </c>
      <c r="I514" s="6">
        <f t="shared" si="15"/>
        <v>1</v>
      </c>
      <c r="J514" s="2" t="s">
        <v>28</v>
      </c>
    </row>
    <row r="515" spans="1:12" x14ac:dyDescent="0.25">
      <c r="A515" s="1">
        <v>40405</v>
      </c>
      <c r="B515" s="2" t="s">
        <v>36</v>
      </c>
      <c r="C515" t="s">
        <v>509</v>
      </c>
      <c r="D515" t="s">
        <v>209</v>
      </c>
      <c r="E515" s="2">
        <v>45791</v>
      </c>
      <c r="F515" s="2" cm="1">
        <f t="array" ref="F515">_xlfn.IFS(B515="Owner Surrender",E515,B515="Stray",E515+6,B515="Stray w/identification",E515+11,B515="Bite",E515+10,B515="Other",E515+30,B515="BAS",E515+56,B515="Seized",E515)</f>
        <v>45791</v>
      </c>
      <c r="G515" s="2">
        <v>45792</v>
      </c>
      <c r="H515" s="6">
        <f t="shared" ref="H515:H578" si="16">+G515-E515</f>
        <v>1</v>
      </c>
      <c r="I515" s="6">
        <f t="shared" ref="I515:I526" si="17">G515-F515</f>
        <v>1</v>
      </c>
      <c r="J515" s="2" t="s">
        <v>28</v>
      </c>
    </row>
    <row r="516" spans="1:12" x14ac:dyDescent="0.25">
      <c r="A516" s="1">
        <v>40406</v>
      </c>
      <c r="B516" s="2" t="s">
        <v>36</v>
      </c>
      <c r="C516" t="s">
        <v>509</v>
      </c>
      <c r="D516" t="s">
        <v>209</v>
      </c>
      <c r="E516" s="2">
        <v>45791</v>
      </c>
      <c r="F516" s="2" cm="1">
        <f t="array" ref="F516">_xlfn.IFS(B516="Owner Surrender",E516,B516="Stray",E516+6,B516="Stray w/identification",E516+11,B516="Bite",E516+10,B516="Other",E516+30,B516="BAS",E516+56,B516="Seized",E516)</f>
        <v>45791</v>
      </c>
      <c r="G516" s="2">
        <v>45797</v>
      </c>
      <c r="H516" s="6">
        <f t="shared" si="16"/>
        <v>6</v>
      </c>
      <c r="I516" s="6">
        <f t="shared" si="17"/>
        <v>6</v>
      </c>
      <c r="J516" s="2" t="s">
        <v>18</v>
      </c>
    </row>
    <row r="517" spans="1:12" x14ac:dyDescent="0.25">
      <c r="A517" s="1">
        <v>40407</v>
      </c>
      <c r="B517" s="2" t="s">
        <v>36</v>
      </c>
      <c r="C517" t="s">
        <v>509</v>
      </c>
      <c r="D517" t="s">
        <v>209</v>
      </c>
      <c r="E517" s="2">
        <v>45791</v>
      </c>
      <c r="F517" s="2" cm="1">
        <f t="array" ref="F517">_xlfn.IFS(B517="Owner Surrender",E517,B517="Stray",E517+6,B517="Stray w/identification",E517+11,B517="Bite",E517+10,B517="Other",E517+30,B517="BAS",E517+56,B517="Seized",E517)</f>
        <v>45791</v>
      </c>
      <c r="G517" s="2">
        <v>45792</v>
      </c>
      <c r="H517" s="6">
        <f t="shared" si="16"/>
        <v>1</v>
      </c>
      <c r="I517" s="6">
        <f t="shared" si="17"/>
        <v>1</v>
      </c>
      <c r="J517" s="2" t="s">
        <v>28</v>
      </c>
      <c r="L517" t="s">
        <v>112</v>
      </c>
    </row>
    <row r="518" spans="1:12" x14ac:dyDescent="0.25">
      <c r="A518" s="1">
        <v>40408</v>
      </c>
      <c r="B518" s="2" t="s">
        <v>36</v>
      </c>
      <c r="C518" t="s">
        <v>509</v>
      </c>
      <c r="D518" t="s">
        <v>209</v>
      </c>
      <c r="E518" s="2">
        <v>45791</v>
      </c>
      <c r="F518" s="2" cm="1">
        <f t="array" ref="F518">_xlfn.IFS(B518="Owner Surrender",E518,B518="Stray",E518+6,B518="Stray w/identification",E518+11,B518="Bite",E518+10,B518="Other",E518+30,B518="BAS",E518+56,B518="Seized",E518)</f>
        <v>45791</v>
      </c>
      <c r="G518" s="2">
        <v>45810</v>
      </c>
      <c r="H518" s="6">
        <f t="shared" si="16"/>
        <v>19</v>
      </c>
      <c r="I518" s="6">
        <f t="shared" si="17"/>
        <v>19</v>
      </c>
      <c r="J518" s="2" t="s">
        <v>11</v>
      </c>
    </row>
    <row r="519" spans="1:12" x14ac:dyDescent="0.25">
      <c r="A519" s="1">
        <v>40409</v>
      </c>
      <c r="B519" s="2" t="s">
        <v>36</v>
      </c>
      <c r="C519" t="s">
        <v>509</v>
      </c>
      <c r="D519" t="s">
        <v>209</v>
      </c>
      <c r="E519" s="2">
        <v>45791</v>
      </c>
      <c r="F519" s="2" cm="1">
        <f t="array" ref="F519">_xlfn.IFS(B519="Owner Surrender",E519,B519="Stray",E519+6,B519="Stray w/identification",E519+11,B519="Bite",E519+10,B519="Other",E519+30,B519="BAS",E519+56,B519="Seized",E519)</f>
        <v>45791</v>
      </c>
      <c r="G519" s="2">
        <v>45810</v>
      </c>
      <c r="H519" s="6">
        <f t="shared" si="16"/>
        <v>19</v>
      </c>
      <c r="I519" s="6">
        <f t="shared" si="17"/>
        <v>19</v>
      </c>
      <c r="J519" s="2" t="s">
        <v>11</v>
      </c>
    </row>
    <row r="520" spans="1:12" x14ac:dyDescent="0.25">
      <c r="A520" s="1">
        <v>40410</v>
      </c>
      <c r="B520" s="2" t="s">
        <v>36</v>
      </c>
      <c r="C520" t="s">
        <v>509</v>
      </c>
      <c r="D520" t="s">
        <v>209</v>
      </c>
      <c r="E520" s="2">
        <v>45791</v>
      </c>
      <c r="F520" s="2" cm="1">
        <f t="array" ref="F520">_xlfn.IFS(B520="Owner Surrender",E520,B520="Stray",E520+6,B520="Stray w/identification",E520+11,B520="Bite",E520+10,B520="Other",E520+30,B520="BAS",E520+56,B520="Seized",E520)</f>
        <v>45791</v>
      </c>
      <c r="G520" s="2">
        <v>45797</v>
      </c>
      <c r="H520" s="6">
        <f t="shared" si="16"/>
        <v>6</v>
      </c>
      <c r="I520" s="6">
        <f t="shared" si="17"/>
        <v>6</v>
      </c>
      <c r="J520" s="2" t="s">
        <v>18</v>
      </c>
    </row>
    <row r="521" spans="1:12" x14ac:dyDescent="0.25">
      <c r="A521" s="1">
        <v>40411</v>
      </c>
      <c r="B521" s="2" t="s">
        <v>38</v>
      </c>
      <c r="C521" t="s">
        <v>79</v>
      </c>
      <c r="D521" t="s">
        <v>208</v>
      </c>
      <c r="E521" s="2">
        <v>45792</v>
      </c>
      <c r="F521" s="2" cm="1">
        <f t="array" ref="F521">_xlfn.IFS(B521="Owner Surrender",E521,B521="Stray",E521+6,B521="Stray w/identification",E521+11,B521="Bite",E521+10,B521="Other",E521+30,B521="BAS",E521+56,B521="Seized",E521)</f>
        <v>45798</v>
      </c>
      <c r="G521" s="2">
        <v>45792</v>
      </c>
      <c r="H521" s="6">
        <f t="shared" si="16"/>
        <v>0</v>
      </c>
      <c r="I521" s="6">
        <f t="shared" si="17"/>
        <v>-6</v>
      </c>
      <c r="J521" s="2" t="s">
        <v>8</v>
      </c>
    </row>
    <row r="522" spans="1:12" x14ac:dyDescent="0.25">
      <c r="A522" s="1">
        <v>40412</v>
      </c>
      <c r="B522" s="2" t="s">
        <v>38</v>
      </c>
      <c r="C522" t="s">
        <v>490</v>
      </c>
      <c r="D522" t="s">
        <v>208</v>
      </c>
      <c r="E522" s="2">
        <v>45792</v>
      </c>
      <c r="F522" s="2" cm="1">
        <f t="array" ref="F522">_xlfn.IFS(B522="Owner Surrender",E522,B522="Stray",E522+6,B522="Stray w/identification",E522+11,B522="Bite",E522+10,B522="Other",E522+30,B522="BAS",E522+56,B522="Seized",E522)</f>
        <v>45798</v>
      </c>
      <c r="G522" s="2">
        <v>45792</v>
      </c>
      <c r="H522" s="6">
        <f t="shared" si="16"/>
        <v>0</v>
      </c>
      <c r="I522" s="6">
        <f t="shared" si="17"/>
        <v>-6</v>
      </c>
      <c r="J522" s="2" t="s">
        <v>8</v>
      </c>
    </row>
    <row r="523" spans="1:12" x14ac:dyDescent="0.25">
      <c r="A523" s="1">
        <v>40413</v>
      </c>
      <c r="B523" s="2" t="s">
        <v>180</v>
      </c>
      <c r="C523" t="s">
        <v>50</v>
      </c>
      <c r="D523" t="s">
        <v>208</v>
      </c>
      <c r="E523" s="2">
        <v>45792</v>
      </c>
      <c r="F523" s="2" cm="1">
        <f t="array" ref="F523">_xlfn.IFS(B523="Owner Surrender",E523,B523="Stray",E523+6,B523="Stray w/identification",E523+11,B523="Bite",E523+10,B523="Other",E523+30,B523="BAS",E523+56,B523="Seized",E523)</f>
        <v>45803</v>
      </c>
      <c r="G523" s="2">
        <v>45805</v>
      </c>
      <c r="H523" s="6">
        <f t="shared" si="16"/>
        <v>13</v>
      </c>
      <c r="I523" s="6">
        <f t="shared" si="17"/>
        <v>2</v>
      </c>
      <c r="J523" s="2" t="s">
        <v>31</v>
      </c>
    </row>
    <row r="524" spans="1:12" x14ac:dyDescent="0.25">
      <c r="A524" s="1">
        <v>40414</v>
      </c>
      <c r="B524" s="2" t="s">
        <v>38</v>
      </c>
      <c r="C524" t="s">
        <v>70</v>
      </c>
      <c r="D524" t="s">
        <v>208</v>
      </c>
      <c r="E524" s="2">
        <v>45792</v>
      </c>
      <c r="F524" s="2" cm="1">
        <f t="array" ref="F524">_xlfn.IFS(B524="Owner Surrender",E524,B524="Stray",E524+6,B524="Stray w/identification",E524+11,B524="Bite",E524+10,B524="Other",E524+30,B524="BAS",E524+56,B524="Seized",E524)</f>
        <v>45798</v>
      </c>
      <c r="G524" s="2">
        <v>45800</v>
      </c>
      <c r="H524" s="6">
        <f t="shared" si="16"/>
        <v>8</v>
      </c>
      <c r="I524" s="6">
        <f t="shared" si="17"/>
        <v>2</v>
      </c>
      <c r="J524" s="2" t="s">
        <v>31</v>
      </c>
      <c r="K524" t="s">
        <v>557</v>
      </c>
    </row>
    <row r="525" spans="1:12" x14ac:dyDescent="0.25">
      <c r="A525" s="1">
        <v>40429</v>
      </c>
      <c r="B525" s="2" t="s">
        <v>180</v>
      </c>
      <c r="C525" t="s">
        <v>90</v>
      </c>
      <c r="D525" t="s">
        <v>208</v>
      </c>
      <c r="E525" s="2">
        <v>45792</v>
      </c>
      <c r="F525" s="2" cm="1">
        <f t="array" ref="F525">_xlfn.IFS(B525="Owner Surrender",E525,B525="Stray",E525+6,B525="Stray w/identification",E525+11,B525="Bite",E525+10,B525="Other",E525+30,B525="BAS",E525+56,B525="Seized",E525)</f>
        <v>45803</v>
      </c>
      <c r="G525" s="2">
        <v>45793</v>
      </c>
      <c r="H525" s="6">
        <f t="shared" si="16"/>
        <v>1</v>
      </c>
      <c r="I525" s="6">
        <f t="shared" si="17"/>
        <v>-10</v>
      </c>
      <c r="J525" s="2" t="s">
        <v>8</v>
      </c>
    </row>
    <row r="526" spans="1:12" x14ac:dyDescent="0.25">
      <c r="A526" s="1">
        <v>40430</v>
      </c>
      <c r="B526" s="2" t="s">
        <v>38</v>
      </c>
      <c r="C526" t="s">
        <v>70</v>
      </c>
      <c r="D526" t="s">
        <v>208</v>
      </c>
      <c r="E526" s="2">
        <v>45793</v>
      </c>
      <c r="F526" s="2" cm="1">
        <f t="array" ref="F526">_xlfn.IFS(B526="Owner Surrender",E526,B526="Stray",E526+6,B526="Stray w/identification",E526+11,B526="Bite",E526+10,B526="Other",E526+30,B526="BAS",E526+56,B526="Seized",E526)</f>
        <v>45799</v>
      </c>
      <c r="G526" s="2">
        <v>45815</v>
      </c>
      <c r="H526" s="6">
        <f t="shared" si="16"/>
        <v>22</v>
      </c>
      <c r="I526" s="6">
        <f t="shared" si="17"/>
        <v>16</v>
      </c>
      <c r="J526" s="2" t="s">
        <v>18</v>
      </c>
    </row>
    <row r="527" spans="1:12" x14ac:dyDescent="0.25">
      <c r="A527" s="3">
        <v>40431</v>
      </c>
      <c r="B527" s="2" t="s">
        <v>61</v>
      </c>
      <c r="C527" t="s">
        <v>50</v>
      </c>
      <c r="D527" t="s">
        <v>208</v>
      </c>
      <c r="E527" s="2">
        <v>45792</v>
      </c>
      <c r="F527" s="2" cm="1">
        <f t="array" ref="F527">_xlfn.IFS(B527="Owner Surrender",E527,B527="Stray",E527+6,B527="Stray w/identification",E527+11,B527="Bite",E527+10,B527="Other",E527+30,B527="BAS",E527+56,B527="Seized",E527)</f>
        <v>45822</v>
      </c>
      <c r="G527" s="2">
        <v>45848</v>
      </c>
      <c r="H527" s="6">
        <f t="shared" si="16"/>
        <v>56</v>
      </c>
      <c r="J527" s="2" t="s">
        <v>8</v>
      </c>
      <c r="L527" t="s">
        <v>9</v>
      </c>
    </row>
    <row r="528" spans="1:12" x14ac:dyDescent="0.25">
      <c r="A528" s="1">
        <v>40433</v>
      </c>
      <c r="B528" s="2" t="s">
        <v>36</v>
      </c>
      <c r="C528" t="s">
        <v>422</v>
      </c>
      <c r="D528" t="s">
        <v>208</v>
      </c>
      <c r="E528" s="2">
        <v>45793</v>
      </c>
      <c r="F528" s="2" cm="1">
        <f t="array" ref="F528">_xlfn.IFS(B528="Owner Surrender",E528,B528="Stray",E528+6,B528="Stray w/identification",E528+11,B528="Bite",E528+10,B528="Other",E528+30,B528="BAS",E528+56,B528="Seized",E528)</f>
        <v>45793</v>
      </c>
      <c r="G528" s="2">
        <v>45805</v>
      </c>
      <c r="H528" s="6">
        <f t="shared" si="16"/>
        <v>12</v>
      </c>
      <c r="I528" s="6">
        <f>G528-F528</f>
        <v>12</v>
      </c>
      <c r="J528" s="2" t="s">
        <v>31</v>
      </c>
      <c r="K528" t="s">
        <v>139</v>
      </c>
    </row>
    <row r="529" spans="1:12" x14ac:dyDescent="0.25">
      <c r="A529" s="1">
        <v>40445</v>
      </c>
      <c r="B529" s="2" t="s">
        <v>180</v>
      </c>
      <c r="C529" t="s">
        <v>50</v>
      </c>
      <c r="D529" t="s">
        <v>208</v>
      </c>
      <c r="E529" s="2">
        <v>45794</v>
      </c>
      <c r="F529" s="2" cm="1">
        <f t="array" ref="F529">_xlfn.IFS(B529="Owner Surrender",E529,B529="Stray",E529+6,B529="Stray w/identification",E529+11,B529="Bite",E529+10,B529="Other",E529+30,B529="BAS",E529+56,B529="Seized",E529)</f>
        <v>45805</v>
      </c>
      <c r="G529" s="2">
        <v>45807</v>
      </c>
      <c r="H529" s="6">
        <f t="shared" si="16"/>
        <v>13</v>
      </c>
      <c r="I529" s="6">
        <f>G529-F529</f>
        <v>2</v>
      </c>
      <c r="J529" s="2" t="s">
        <v>31</v>
      </c>
    </row>
    <row r="530" spans="1:12" x14ac:dyDescent="0.25">
      <c r="A530" s="3">
        <v>40449</v>
      </c>
      <c r="B530" s="2" t="s">
        <v>61</v>
      </c>
      <c r="C530" t="s">
        <v>109</v>
      </c>
      <c r="D530" t="s">
        <v>208</v>
      </c>
      <c r="E530" s="2">
        <v>45794</v>
      </c>
      <c r="F530" s="2" cm="1">
        <f t="array" ref="F530">_xlfn.IFS(B530="Owner Surrender",E530,B530="Stray",E530+6,B530="Stray w/identification",E530+11,B530="Bite",E530+10,B530="Other",E530+30,B530="BAS",E530+56,B530="Seized",E530)</f>
        <v>45824</v>
      </c>
      <c r="G530" s="2">
        <v>45845</v>
      </c>
      <c r="H530" s="6">
        <f t="shared" si="16"/>
        <v>51</v>
      </c>
      <c r="J530" s="2" t="s">
        <v>8</v>
      </c>
      <c r="L530" t="s">
        <v>110</v>
      </c>
    </row>
    <row r="531" spans="1:12" x14ac:dyDescent="0.25">
      <c r="A531" s="1">
        <v>40450</v>
      </c>
      <c r="B531" s="2" t="s">
        <v>180</v>
      </c>
      <c r="C531" t="s">
        <v>149</v>
      </c>
      <c r="D531" t="s">
        <v>208</v>
      </c>
      <c r="E531" s="2">
        <v>45795</v>
      </c>
      <c r="F531" s="2" cm="1">
        <f t="array" ref="F531">_xlfn.IFS(B531="Owner Surrender",E531,B531="Stray",E531+6,B531="Stray w/identification",E531+11,B531="Bite",E531+10,B531="Other",E531+30,B531="BAS",E531+56,B531="Seized",E531)</f>
        <v>45806</v>
      </c>
      <c r="G531" s="2">
        <v>45807</v>
      </c>
      <c r="H531" s="6">
        <f t="shared" si="16"/>
        <v>12</v>
      </c>
      <c r="I531" s="6">
        <f t="shared" ref="I531:I562" si="18">G531-F531</f>
        <v>1</v>
      </c>
      <c r="J531" s="2" t="s">
        <v>31</v>
      </c>
    </row>
    <row r="532" spans="1:12" x14ac:dyDescent="0.25">
      <c r="A532" s="1">
        <v>40453</v>
      </c>
      <c r="B532" s="2" t="s">
        <v>36</v>
      </c>
      <c r="C532" t="s">
        <v>50</v>
      </c>
      <c r="D532" t="s">
        <v>208</v>
      </c>
      <c r="E532" s="2">
        <v>45796</v>
      </c>
      <c r="F532" s="2" cm="1">
        <f t="array" ref="F532">_xlfn.IFS(B532="Owner Surrender",E532,B532="Stray",E532+6,B532="Stray w/identification",E532+11,B532="Bite",E532+10,B532="Other",E532+30,B532="BAS",E532+56,B532="Seized",E532)</f>
        <v>45796</v>
      </c>
      <c r="G532" s="2">
        <v>45807</v>
      </c>
      <c r="H532" s="6">
        <f t="shared" si="16"/>
        <v>11</v>
      </c>
      <c r="I532" s="6">
        <f t="shared" si="18"/>
        <v>11</v>
      </c>
      <c r="J532" s="2" t="s">
        <v>31</v>
      </c>
      <c r="L532" t="s">
        <v>556</v>
      </c>
    </row>
    <row r="533" spans="1:12" x14ac:dyDescent="0.25">
      <c r="A533" s="1">
        <v>40460</v>
      </c>
      <c r="B533" s="2" t="s">
        <v>36</v>
      </c>
      <c r="C533" t="s">
        <v>84</v>
      </c>
      <c r="D533" t="s">
        <v>208</v>
      </c>
      <c r="E533" s="2">
        <v>45796</v>
      </c>
      <c r="F533" s="2" cm="1">
        <f t="array" ref="F533">_xlfn.IFS(B533="Owner Surrender",E533,B533="Stray",E533+6,B533="Stray w/identification",E533+11,B533="Bite",E533+10,B533="Other",E533+30,B533="BAS",E533+56,B533="Seized",E533)</f>
        <v>45796</v>
      </c>
      <c r="G533" s="2">
        <v>45805</v>
      </c>
      <c r="H533" s="6">
        <f t="shared" si="16"/>
        <v>9</v>
      </c>
      <c r="I533" s="6">
        <f t="shared" si="18"/>
        <v>9</v>
      </c>
      <c r="J533" s="2" t="s">
        <v>31</v>
      </c>
    </row>
    <row r="534" spans="1:12" x14ac:dyDescent="0.25">
      <c r="A534" s="1">
        <v>40461</v>
      </c>
      <c r="B534" s="2" t="s">
        <v>36</v>
      </c>
      <c r="C534" t="s">
        <v>555</v>
      </c>
      <c r="D534" t="s">
        <v>208</v>
      </c>
      <c r="E534" s="2">
        <v>45796</v>
      </c>
      <c r="F534" s="2" cm="1">
        <f t="array" ref="F534">_xlfn.IFS(B534="Owner Surrender",E534,B534="Stray",E534+6,B534="Stray w/identification",E534+11,B534="Bite",E534+10,B534="Other",E534+30,B534="BAS",E534+56,B534="Seized",E534)</f>
        <v>45796</v>
      </c>
      <c r="G534" s="2">
        <v>45801</v>
      </c>
      <c r="H534" s="6">
        <f t="shared" si="16"/>
        <v>5</v>
      </c>
      <c r="I534" s="6">
        <f t="shared" si="18"/>
        <v>5</v>
      </c>
      <c r="J534" s="2" t="s">
        <v>11</v>
      </c>
    </row>
    <row r="535" spans="1:12" x14ac:dyDescent="0.25">
      <c r="A535" s="1">
        <v>40462</v>
      </c>
      <c r="B535" s="2" t="s">
        <v>36</v>
      </c>
      <c r="C535" t="s">
        <v>162</v>
      </c>
      <c r="D535" t="s">
        <v>208</v>
      </c>
      <c r="E535" s="2">
        <v>45796</v>
      </c>
      <c r="F535" s="2" cm="1">
        <f t="array" ref="F535">_xlfn.IFS(B535="Owner Surrender",E535,B535="Stray",E535+6,B535="Stray w/identification",E535+11,B535="Bite",E535+10,B535="Other",E535+30,B535="BAS",E535+56,B535="Seized",E535)</f>
        <v>45796</v>
      </c>
      <c r="G535" s="2">
        <v>45805</v>
      </c>
      <c r="H535" s="6">
        <f t="shared" si="16"/>
        <v>9</v>
      </c>
      <c r="I535" s="6">
        <f t="shared" si="18"/>
        <v>9</v>
      </c>
      <c r="J535" s="2" t="s">
        <v>31</v>
      </c>
    </row>
    <row r="536" spans="1:12" x14ac:dyDescent="0.25">
      <c r="A536" s="1">
        <v>40463</v>
      </c>
      <c r="B536" s="2" t="s">
        <v>38</v>
      </c>
      <c r="C536" t="s">
        <v>49</v>
      </c>
      <c r="D536" t="s">
        <v>208</v>
      </c>
      <c r="E536" s="2">
        <v>45797</v>
      </c>
      <c r="F536" s="2" cm="1">
        <f t="array" ref="F536">_xlfn.IFS(B536="Owner Surrender",E536,B536="Stray",E536+6,B536="Stray w/identification",E536+11,B536="Bite",E536+10,B536="Other",E536+30,B536="BAS",E536+56,B536="Seized",E536)</f>
        <v>45803</v>
      </c>
      <c r="G536" s="2">
        <v>45797</v>
      </c>
      <c r="H536" s="6">
        <f t="shared" si="16"/>
        <v>0</v>
      </c>
      <c r="I536" s="6">
        <f t="shared" si="18"/>
        <v>-6</v>
      </c>
      <c r="J536" s="2" t="s">
        <v>8</v>
      </c>
    </row>
    <row r="537" spans="1:12" x14ac:dyDescent="0.25">
      <c r="A537" s="1">
        <v>40468</v>
      </c>
      <c r="B537" s="2" t="s">
        <v>36</v>
      </c>
      <c r="C537" t="s">
        <v>514</v>
      </c>
      <c r="D537" t="s">
        <v>210</v>
      </c>
      <c r="E537" s="2">
        <v>45797</v>
      </c>
      <c r="F537" s="2" cm="1">
        <f t="array" ref="F537">_xlfn.IFS(B537="Owner Surrender",E537,B537="Stray",E537+6,B537="Stray w/identification",E537+11,B537="Bite",E537+10,B537="Other",E537+30,B537="BAS",E537+56,B537="Seized",E537)</f>
        <v>45797</v>
      </c>
      <c r="G537" s="2">
        <v>45812</v>
      </c>
      <c r="H537" s="6">
        <f t="shared" si="16"/>
        <v>15</v>
      </c>
      <c r="I537" s="6">
        <f t="shared" si="18"/>
        <v>15</v>
      </c>
      <c r="J537" s="2" t="s">
        <v>31</v>
      </c>
      <c r="K537" t="s">
        <v>504</v>
      </c>
    </row>
    <row r="538" spans="1:12" x14ac:dyDescent="0.25">
      <c r="A538" s="1">
        <v>40469</v>
      </c>
      <c r="B538" s="2" t="s">
        <v>38</v>
      </c>
      <c r="C538" t="s">
        <v>149</v>
      </c>
      <c r="D538" t="s">
        <v>208</v>
      </c>
      <c r="E538" s="2">
        <v>45797</v>
      </c>
      <c r="F538" s="2" cm="1">
        <f t="array" ref="F538">_xlfn.IFS(B538="Owner Surrender",E538,B538="Stray",E538+6,B538="Stray w/identification",E538+11,B538="Bite",E538+10,B538="Other",E538+30,B538="BAS",E538+56,B538="Seized",E538)</f>
        <v>45803</v>
      </c>
      <c r="G538" s="2">
        <v>45797</v>
      </c>
      <c r="H538" s="6">
        <f t="shared" si="16"/>
        <v>0</v>
      </c>
      <c r="I538" s="6">
        <f t="shared" si="18"/>
        <v>-6</v>
      </c>
      <c r="J538" s="2" t="s">
        <v>8</v>
      </c>
    </row>
    <row r="539" spans="1:12" x14ac:dyDescent="0.25">
      <c r="A539" s="1">
        <v>40474</v>
      </c>
      <c r="B539" s="2" t="s">
        <v>36</v>
      </c>
      <c r="C539" t="s">
        <v>49</v>
      </c>
      <c r="D539" t="s">
        <v>208</v>
      </c>
      <c r="E539" s="2">
        <v>45797</v>
      </c>
      <c r="F539" s="2" cm="1">
        <f t="array" ref="F539">_xlfn.IFS(B539="Owner Surrender",E539,B539="Stray",E539+6,B539="Stray w/identification",E539+11,B539="Bite",E539+10,B539="Other",E539+30,B539="BAS",E539+56,B539="Seized",E539)</f>
        <v>45797</v>
      </c>
      <c r="G539" s="2">
        <v>45807</v>
      </c>
      <c r="H539" s="6">
        <f t="shared" si="16"/>
        <v>10</v>
      </c>
      <c r="I539" s="6">
        <f t="shared" si="18"/>
        <v>10</v>
      </c>
      <c r="J539" s="2" t="s">
        <v>31</v>
      </c>
      <c r="K539" t="s">
        <v>554</v>
      </c>
    </row>
    <row r="540" spans="1:12" x14ac:dyDescent="0.25">
      <c r="A540" s="1">
        <v>40475</v>
      </c>
      <c r="B540" s="2" t="s">
        <v>180</v>
      </c>
      <c r="C540" t="s">
        <v>50</v>
      </c>
      <c r="D540" t="s">
        <v>208</v>
      </c>
      <c r="E540" s="2">
        <v>45798</v>
      </c>
      <c r="F540" s="2" cm="1">
        <f t="array" ref="F540">_xlfn.IFS(B540="Owner Surrender",E540,B540="Stray",E540+6,B540="Stray w/identification",E540+11,B540="Bite",E540+10,B540="Other",E540+30,B540="BAS",E540+56,B540="Seized",E540)</f>
        <v>45809</v>
      </c>
      <c r="G540" s="2">
        <v>45812</v>
      </c>
      <c r="H540" s="6">
        <f t="shared" si="16"/>
        <v>14</v>
      </c>
      <c r="I540" s="6">
        <f t="shared" si="18"/>
        <v>3</v>
      </c>
      <c r="J540" s="2" t="s">
        <v>31</v>
      </c>
    </row>
    <row r="541" spans="1:12" x14ac:dyDescent="0.25">
      <c r="A541" s="1">
        <v>40480</v>
      </c>
      <c r="B541" s="2" t="s">
        <v>36</v>
      </c>
      <c r="C541" t="s">
        <v>149</v>
      </c>
      <c r="D541" t="s">
        <v>210</v>
      </c>
      <c r="E541" s="2">
        <v>45798</v>
      </c>
      <c r="F541" s="2" cm="1">
        <f t="array" ref="F541">_xlfn.IFS(B541="Owner Surrender",E541,B541="Stray",E541+6,B541="Stray w/identification",E541+11,B541="Bite",E541+10,B541="Other",E541+30,B541="BAS",E541+56,B541="Seized",E541)</f>
        <v>45798</v>
      </c>
      <c r="G541" s="2">
        <v>45807</v>
      </c>
      <c r="H541" s="6">
        <f t="shared" si="16"/>
        <v>9</v>
      </c>
      <c r="I541" s="6">
        <f t="shared" si="18"/>
        <v>9</v>
      </c>
      <c r="J541" s="2" t="s">
        <v>31</v>
      </c>
      <c r="K541" t="s">
        <v>154</v>
      </c>
    </row>
    <row r="542" spans="1:12" x14ac:dyDescent="0.25">
      <c r="A542" s="1">
        <v>40486</v>
      </c>
      <c r="B542" s="2" t="s">
        <v>36</v>
      </c>
      <c r="C542" t="s">
        <v>57</v>
      </c>
      <c r="D542" t="s">
        <v>209</v>
      </c>
      <c r="E542" s="2">
        <v>45798</v>
      </c>
      <c r="F542" s="2" cm="1">
        <f t="array" ref="F542">_xlfn.IFS(B542="Owner Surrender",E542,B542="Stray",E542+6,B542="Stray w/identification",E542+11,B542="Bite",E542+10,B542="Other",E542+30,B542="BAS",E542+56,B542="Seized",E542)</f>
        <v>45798</v>
      </c>
      <c r="G542" s="2">
        <v>45807</v>
      </c>
      <c r="H542" s="6">
        <f t="shared" si="16"/>
        <v>9</v>
      </c>
      <c r="I542" s="6">
        <f t="shared" si="18"/>
        <v>9</v>
      </c>
      <c r="J542" s="2" t="s">
        <v>11</v>
      </c>
    </row>
    <row r="543" spans="1:12" x14ac:dyDescent="0.25">
      <c r="A543" s="1">
        <v>40487</v>
      </c>
      <c r="B543" s="2" t="s">
        <v>180</v>
      </c>
      <c r="C543" t="s">
        <v>142</v>
      </c>
      <c r="D543" t="s">
        <v>211</v>
      </c>
      <c r="E543" s="2">
        <v>45798</v>
      </c>
      <c r="F543" s="2" cm="1">
        <f t="array" ref="F543">_xlfn.IFS(B543="Owner Surrender",E543,B543="Stray",E543+6,B543="Stray w/identification",E543+11,B543="Bite",E543+10,B543="Other",E543+30,B543="BAS",E543+56,B543="Seized",E543)</f>
        <v>45809</v>
      </c>
      <c r="G543" s="2">
        <v>45799</v>
      </c>
      <c r="H543" s="6">
        <f t="shared" si="16"/>
        <v>1</v>
      </c>
      <c r="I543" s="6">
        <f t="shared" si="18"/>
        <v>-10</v>
      </c>
      <c r="J543" s="2" t="s">
        <v>8</v>
      </c>
    </row>
    <row r="544" spans="1:12" x14ac:dyDescent="0.25">
      <c r="A544" s="1">
        <v>40488</v>
      </c>
      <c r="B544" s="2" t="s">
        <v>180</v>
      </c>
      <c r="C544" t="s">
        <v>73</v>
      </c>
      <c r="D544" t="s">
        <v>208</v>
      </c>
      <c r="E544" s="2">
        <v>45798</v>
      </c>
      <c r="F544" s="2" cm="1">
        <f t="array" ref="F544">_xlfn.IFS(B544="Owner Surrender",E544,B544="Stray",E544+6,B544="Stray w/identification",E544+11,B544="Bite",E544+10,B544="Other",E544+30,B544="BAS",E544+56,B544="Seized",E544)</f>
        <v>45809</v>
      </c>
      <c r="G544" s="2">
        <v>45812</v>
      </c>
      <c r="H544" s="6">
        <f t="shared" si="16"/>
        <v>14</v>
      </c>
      <c r="I544" s="6">
        <f t="shared" si="18"/>
        <v>3</v>
      </c>
      <c r="J544" s="2" t="s">
        <v>31</v>
      </c>
    </row>
    <row r="545" spans="1:11" x14ac:dyDescent="0.25">
      <c r="A545" s="1">
        <v>40496</v>
      </c>
      <c r="B545" s="2" t="s">
        <v>180</v>
      </c>
      <c r="C545" t="s">
        <v>109</v>
      </c>
      <c r="D545" t="s">
        <v>208</v>
      </c>
      <c r="E545" s="2">
        <v>45800</v>
      </c>
      <c r="F545" s="2" cm="1">
        <f t="array" ref="F545">_xlfn.IFS(B545="Owner Surrender",E545,B545="Stray",E545+6,B545="Stray w/identification",E545+11,B545="Bite",E545+10,B545="Other",E545+30,B545="BAS",E545+56,B545="Seized",E545)</f>
        <v>45811</v>
      </c>
      <c r="G545" s="2">
        <v>45800</v>
      </c>
      <c r="H545" s="6">
        <f t="shared" si="16"/>
        <v>0</v>
      </c>
      <c r="I545" s="6">
        <f t="shared" si="18"/>
        <v>-11</v>
      </c>
      <c r="J545" s="2" t="s">
        <v>8</v>
      </c>
    </row>
    <row r="546" spans="1:11" x14ac:dyDescent="0.25">
      <c r="A546" s="1">
        <v>40497</v>
      </c>
      <c r="B546" s="2" t="s">
        <v>61</v>
      </c>
      <c r="C546" t="s">
        <v>71</v>
      </c>
      <c r="D546" t="s">
        <v>211</v>
      </c>
      <c r="E546" s="2">
        <v>45800</v>
      </c>
      <c r="F546" s="2" cm="1">
        <f t="array" ref="F546">_xlfn.IFS(B546="Owner Surrender",E546,B546="Stray",E546+6,B546="Stray w/identification",E546+11,B546="Bite",E546+10,B546="Other",E546+30,B546="BAS",E546+56,B546="Seized",E546)</f>
        <v>45830</v>
      </c>
      <c r="G546" s="2">
        <v>45811</v>
      </c>
      <c r="H546" s="6">
        <f t="shared" si="16"/>
        <v>11</v>
      </c>
      <c r="I546" s="6">
        <f t="shared" si="18"/>
        <v>-19</v>
      </c>
      <c r="J546" s="2" t="s">
        <v>8</v>
      </c>
    </row>
    <row r="547" spans="1:11" x14ac:dyDescent="0.25">
      <c r="A547" s="1">
        <v>40499</v>
      </c>
      <c r="B547" s="2" t="s">
        <v>180</v>
      </c>
      <c r="C547" t="s">
        <v>79</v>
      </c>
      <c r="D547" t="s">
        <v>208</v>
      </c>
      <c r="E547" s="2">
        <v>45799</v>
      </c>
      <c r="F547" s="2" cm="1">
        <f t="array" ref="F547">_xlfn.IFS(B547="Owner Surrender",E547,B547="Stray",E547+6,B547="Stray w/identification",E547+11,B547="Bite",E547+10,B547="Other",E547+30,B547="BAS",E547+56,B547="Seized",E547)</f>
        <v>45810</v>
      </c>
      <c r="G547" s="2">
        <v>45822</v>
      </c>
      <c r="H547" s="6">
        <f t="shared" si="16"/>
        <v>23</v>
      </c>
      <c r="I547" s="6">
        <f t="shared" si="18"/>
        <v>12</v>
      </c>
      <c r="J547" s="2" t="s">
        <v>8</v>
      </c>
    </row>
    <row r="548" spans="1:11" x14ac:dyDescent="0.25">
      <c r="A548" s="1">
        <v>40500</v>
      </c>
      <c r="B548" s="2" t="s">
        <v>38</v>
      </c>
      <c r="C548" t="s">
        <v>56</v>
      </c>
      <c r="D548" t="s">
        <v>208</v>
      </c>
      <c r="E548" s="2">
        <v>45799</v>
      </c>
      <c r="F548" s="2" cm="1">
        <f t="array" ref="F548">_xlfn.IFS(B548="Owner Surrender",E548,B548="Stray",E548+6,B548="Stray w/identification",E548+11,B548="Bite",E548+10,B548="Other",E548+30,B548="BAS",E548+56,B548="Seized",E548)</f>
        <v>45805</v>
      </c>
      <c r="G548" s="2">
        <v>45822</v>
      </c>
      <c r="H548" s="6">
        <f t="shared" si="16"/>
        <v>23</v>
      </c>
      <c r="I548" s="6">
        <f t="shared" si="18"/>
        <v>17</v>
      </c>
      <c r="J548" s="2" t="s">
        <v>8</v>
      </c>
      <c r="K548" t="s">
        <v>154</v>
      </c>
    </row>
    <row r="549" spans="1:11" x14ac:dyDescent="0.25">
      <c r="A549" s="1">
        <v>40526</v>
      </c>
      <c r="B549" s="2" t="s">
        <v>36</v>
      </c>
      <c r="C549" t="s">
        <v>553</v>
      </c>
      <c r="D549" t="s">
        <v>208</v>
      </c>
      <c r="E549" s="2">
        <v>45804</v>
      </c>
      <c r="F549" s="2" cm="1">
        <f t="array" ref="F549">_xlfn.IFS(B549="Owner Surrender",E549,B549="Stray",E549+6,B549="Stray w/identification",E549+11,B549="Bite",E549+10,B549="Other",E549+30,B549="BAS",E549+56,B549="Seized",E549)</f>
        <v>45804</v>
      </c>
      <c r="G549" s="2">
        <v>45807</v>
      </c>
      <c r="H549" s="6">
        <f t="shared" si="16"/>
        <v>3</v>
      </c>
      <c r="I549" s="6">
        <f t="shared" si="18"/>
        <v>3</v>
      </c>
      <c r="J549" s="2" t="s">
        <v>11</v>
      </c>
      <c r="K549" t="s">
        <v>152</v>
      </c>
    </row>
    <row r="550" spans="1:11" x14ac:dyDescent="0.25">
      <c r="A550" s="1">
        <v>40528</v>
      </c>
      <c r="B550" s="2" t="s">
        <v>36</v>
      </c>
      <c r="C550" t="s">
        <v>109</v>
      </c>
      <c r="D550" t="s">
        <v>209</v>
      </c>
      <c r="E550" s="2">
        <v>45803</v>
      </c>
      <c r="F550" s="2" cm="1">
        <f t="array" ref="F550">_xlfn.IFS(B550="Owner Surrender",E550,B550="Stray",E550+6,B550="Stray w/identification",E550+11,B550="Bite",E550+10,B550="Other",E550+30,B550="BAS",E550+56,B550="Seized",E550)</f>
        <v>45803</v>
      </c>
      <c r="G550" s="2">
        <v>45828</v>
      </c>
      <c r="H550" s="6">
        <f t="shared" si="16"/>
        <v>25</v>
      </c>
      <c r="I550" s="6">
        <f t="shared" si="18"/>
        <v>25</v>
      </c>
      <c r="J550" s="2" t="s">
        <v>11</v>
      </c>
      <c r="K550" t="s">
        <v>504</v>
      </c>
    </row>
    <row r="551" spans="1:11" x14ac:dyDescent="0.25">
      <c r="A551" s="1">
        <v>40533</v>
      </c>
      <c r="B551" s="2" t="s">
        <v>38</v>
      </c>
      <c r="C551" t="s">
        <v>496</v>
      </c>
      <c r="D551" t="s">
        <v>209</v>
      </c>
      <c r="E551" s="2">
        <v>45802</v>
      </c>
      <c r="F551" s="2" cm="1">
        <f t="array" ref="F551">_xlfn.IFS(B551="Owner Surrender",E551,B551="Stray",E551+6,B551="Stray w/identification",E551+11,B551="Bite",E551+10,B551="Other",E551+30,B551="BAS",E551+56,B551="Seized",E551)</f>
        <v>45808</v>
      </c>
      <c r="G551" s="2">
        <v>45814</v>
      </c>
      <c r="H551" s="6">
        <f t="shared" si="16"/>
        <v>12</v>
      </c>
      <c r="I551" s="6">
        <f t="shared" si="18"/>
        <v>6</v>
      </c>
      <c r="J551" s="2" t="s">
        <v>31</v>
      </c>
    </row>
    <row r="552" spans="1:11" x14ac:dyDescent="0.25">
      <c r="A552" s="1">
        <v>40534</v>
      </c>
      <c r="B552" s="2" t="s">
        <v>38</v>
      </c>
      <c r="C552" t="s">
        <v>496</v>
      </c>
      <c r="D552" t="s">
        <v>209</v>
      </c>
      <c r="E552" s="2">
        <v>45802</v>
      </c>
      <c r="F552" s="2" cm="1">
        <f t="array" ref="F552">_xlfn.IFS(B552="Owner Surrender",E552,B552="Stray",E552+6,B552="Stray w/identification",E552+11,B552="Bite",E552+10,B552="Other",E552+30,B552="BAS",E552+56,B552="Seized",E552)</f>
        <v>45808</v>
      </c>
      <c r="G552" s="2">
        <v>45814</v>
      </c>
      <c r="H552" s="6">
        <f t="shared" si="16"/>
        <v>12</v>
      </c>
      <c r="I552" s="6">
        <f t="shared" si="18"/>
        <v>6</v>
      </c>
      <c r="J552" s="2" t="s">
        <v>31</v>
      </c>
    </row>
    <row r="553" spans="1:11" x14ac:dyDescent="0.25">
      <c r="A553" s="1">
        <v>40535</v>
      </c>
      <c r="B553" s="2" t="s">
        <v>38</v>
      </c>
      <c r="C553" t="s">
        <v>496</v>
      </c>
      <c r="D553" t="s">
        <v>209</v>
      </c>
      <c r="E553" s="2">
        <v>45802</v>
      </c>
      <c r="F553" s="2" cm="1">
        <f t="array" ref="F553">_xlfn.IFS(B553="Owner Surrender",E553,B553="Stray",E553+6,B553="Stray w/identification",E553+11,B553="Bite",E553+10,B553="Other",E553+30,B553="BAS",E553+56,B553="Seized",E553)</f>
        <v>45808</v>
      </c>
      <c r="G553" s="2">
        <v>45814</v>
      </c>
      <c r="H553" s="6">
        <f t="shared" si="16"/>
        <v>12</v>
      </c>
      <c r="I553" s="6">
        <f t="shared" si="18"/>
        <v>6</v>
      </c>
      <c r="J553" s="2" t="s">
        <v>31</v>
      </c>
    </row>
    <row r="554" spans="1:11" x14ac:dyDescent="0.25">
      <c r="A554" s="1">
        <v>40536</v>
      </c>
      <c r="B554" s="2" t="s">
        <v>38</v>
      </c>
      <c r="C554" t="s">
        <v>496</v>
      </c>
      <c r="D554" t="s">
        <v>209</v>
      </c>
      <c r="E554" s="2">
        <v>45802</v>
      </c>
      <c r="F554" s="2" cm="1">
        <f t="array" ref="F554">_xlfn.IFS(B554="Owner Surrender",E554,B554="Stray",E554+6,B554="Stray w/identification",E554+11,B554="Bite",E554+10,B554="Other",E554+30,B554="BAS",E554+56,B554="Seized",E554)</f>
        <v>45808</v>
      </c>
      <c r="G554" s="2">
        <v>45814</v>
      </c>
      <c r="H554" s="6">
        <f t="shared" si="16"/>
        <v>12</v>
      </c>
      <c r="I554" s="6">
        <f t="shared" si="18"/>
        <v>6</v>
      </c>
      <c r="J554" s="2" t="s">
        <v>31</v>
      </c>
    </row>
    <row r="555" spans="1:11" x14ac:dyDescent="0.25">
      <c r="A555" s="1">
        <v>40537</v>
      </c>
      <c r="B555" s="2" t="s">
        <v>38</v>
      </c>
      <c r="C555" t="s">
        <v>496</v>
      </c>
      <c r="D555" t="s">
        <v>209</v>
      </c>
      <c r="E555" s="2">
        <v>45802</v>
      </c>
      <c r="F555" s="2" cm="1">
        <f t="array" ref="F555">_xlfn.IFS(B555="Owner Surrender",E555,B555="Stray",E555+6,B555="Stray w/identification",E555+11,B555="Bite",E555+10,B555="Other",E555+30,B555="BAS",E555+56,B555="Seized",E555)</f>
        <v>45808</v>
      </c>
      <c r="G555" s="2">
        <v>45814</v>
      </c>
      <c r="H555" s="6">
        <f t="shared" si="16"/>
        <v>12</v>
      </c>
      <c r="I555" s="6">
        <f t="shared" si="18"/>
        <v>6</v>
      </c>
      <c r="J555" s="2" t="s">
        <v>31</v>
      </c>
    </row>
    <row r="556" spans="1:11" x14ac:dyDescent="0.25">
      <c r="A556" s="1">
        <v>40538</v>
      </c>
      <c r="B556" s="2" t="s">
        <v>36</v>
      </c>
      <c r="C556" t="s">
        <v>73</v>
      </c>
      <c r="D556" t="s">
        <v>210</v>
      </c>
      <c r="E556" s="2">
        <v>45804</v>
      </c>
      <c r="F556" s="2" cm="1">
        <f t="array" ref="F556">_xlfn.IFS(B556="Owner Surrender",E556,B556="Stray",E556+6,B556="Stray w/identification",E556+11,B556="Bite",E556+10,B556="Other",E556+30,B556="BAS",E556+56,B556="Seized",E556)</f>
        <v>45804</v>
      </c>
      <c r="G556" s="2">
        <v>45814</v>
      </c>
      <c r="H556" s="6">
        <f t="shared" si="16"/>
        <v>10</v>
      </c>
      <c r="I556" s="6">
        <f t="shared" si="18"/>
        <v>10</v>
      </c>
      <c r="J556" s="2" t="s">
        <v>31</v>
      </c>
      <c r="K556" t="s">
        <v>467</v>
      </c>
    </row>
    <row r="557" spans="1:11" x14ac:dyDescent="0.25">
      <c r="A557" s="1">
        <v>40702</v>
      </c>
      <c r="B557" s="2" t="s">
        <v>38</v>
      </c>
      <c r="C557" t="s">
        <v>88</v>
      </c>
      <c r="D557" t="s">
        <v>209</v>
      </c>
      <c r="E557" s="2">
        <v>45805</v>
      </c>
      <c r="F557" s="2" cm="1">
        <f t="array" ref="F557">_xlfn.IFS(B557="Owner Surrender",E557,B557="Stray",E557+6,B557="Stray w/identification",E557+11,B557="Bite",E557+10,B557="Other",E557+30,B557="BAS",E557+56,B557="Seized",E557)</f>
        <v>45811</v>
      </c>
      <c r="G557" s="2">
        <v>45825</v>
      </c>
      <c r="H557" s="6">
        <f t="shared" si="16"/>
        <v>20</v>
      </c>
      <c r="I557" s="6">
        <f t="shared" si="18"/>
        <v>14</v>
      </c>
      <c r="J557" s="2" t="s">
        <v>11</v>
      </c>
      <c r="K557" t="s">
        <v>561</v>
      </c>
    </row>
    <row r="558" spans="1:11" x14ac:dyDescent="0.25">
      <c r="A558" s="1">
        <v>40709</v>
      </c>
      <c r="B558" s="2" t="s">
        <v>180</v>
      </c>
      <c r="C558" t="s">
        <v>73</v>
      </c>
      <c r="D558" t="s">
        <v>210</v>
      </c>
      <c r="E558" s="2">
        <v>45805</v>
      </c>
      <c r="F558" s="2" cm="1">
        <f t="array" ref="F558">_xlfn.IFS(B558="Owner Surrender",E558,B558="Stray",E558+6,B558="Stray w/identification",E558+11,B558="Bite",E558+10,B558="Other",E558+30,B558="BAS",E558+56,B558="Seized",E558)</f>
        <v>45816</v>
      </c>
      <c r="G558" s="2">
        <v>45818</v>
      </c>
      <c r="H558" s="6">
        <f t="shared" si="16"/>
        <v>13</v>
      </c>
      <c r="I558" s="6">
        <f t="shared" si="18"/>
        <v>2</v>
      </c>
      <c r="J558" s="2" t="s">
        <v>31</v>
      </c>
      <c r="K558" t="s">
        <v>560</v>
      </c>
    </row>
    <row r="559" spans="1:11" x14ac:dyDescent="0.25">
      <c r="A559" s="1">
        <v>40719</v>
      </c>
      <c r="B559" s="2" t="s">
        <v>38</v>
      </c>
      <c r="C559" t="s">
        <v>50</v>
      </c>
      <c r="D559" t="s">
        <v>209</v>
      </c>
      <c r="E559" s="2">
        <v>45806</v>
      </c>
      <c r="F559" s="2" cm="1">
        <f t="array" ref="F559">_xlfn.IFS(B559="Owner Surrender",E559,B559="Stray",E559+6,B559="Stray w/identification",E559+11,B559="Bite",E559+10,B559="Other",E559+30,B559="BAS",E559+56,B559="Seized",E559)</f>
        <v>45812</v>
      </c>
      <c r="G559" s="2">
        <v>45806</v>
      </c>
      <c r="H559" s="6">
        <f t="shared" si="16"/>
        <v>0</v>
      </c>
      <c r="I559" s="6">
        <f t="shared" si="18"/>
        <v>-6</v>
      </c>
      <c r="J559" s="2" t="s">
        <v>8</v>
      </c>
    </row>
    <row r="560" spans="1:11" x14ac:dyDescent="0.25">
      <c r="A560" s="1">
        <v>40720</v>
      </c>
      <c r="B560" s="2" t="s">
        <v>180</v>
      </c>
      <c r="C560" t="s">
        <v>50</v>
      </c>
      <c r="D560" t="s">
        <v>208</v>
      </c>
      <c r="E560" s="2">
        <v>45806</v>
      </c>
      <c r="F560" s="2" cm="1">
        <f t="array" ref="F560">_xlfn.IFS(B560="Owner Surrender",E560,B560="Stray",E560+6,B560="Stray w/identification",E560+11,B560="Bite",E560+10,B560="Other",E560+30,B560="BAS",E560+56,B560="Seized",E560)</f>
        <v>45817</v>
      </c>
      <c r="G560" s="2">
        <v>45806</v>
      </c>
      <c r="H560" s="6">
        <f t="shared" si="16"/>
        <v>0</v>
      </c>
      <c r="I560" s="6">
        <f t="shared" si="18"/>
        <v>-11</v>
      </c>
      <c r="J560" s="2" t="s">
        <v>8</v>
      </c>
    </row>
    <row r="561" spans="1:12" x14ac:dyDescent="0.25">
      <c r="A561" s="1">
        <v>40725</v>
      </c>
      <c r="B561" s="2" t="s">
        <v>36</v>
      </c>
      <c r="C561" t="s">
        <v>55</v>
      </c>
      <c r="D561" t="s">
        <v>208</v>
      </c>
      <c r="E561" s="2">
        <v>45806</v>
      </c>
      <c r="F561" s="2" cm="1">
        <f t="array" ref="F561">_xlfn.IFS(B561="Owner Surrender",E561,B561="Stray",E561+6,B561="Stray w/identification",E561+11,B561="Bite",E561+10,B561="Other",E561+30,B561="BAS",E561+56,B561="Seized",E561)</f>
        <v>45806</v>
      </c>
      <c r="G561" s="2">
        <v>45807</v>
      </c>
      <c r="H561" s="6">
        <f t="shared" si="16"/>
        <v>1</v>
      </c>
      <c r="I561" s="6">
        <f t="shared" si="18"/>
        <v>1</v>
      </c>
      <c r="J561" s="2" t="s">
        <v>11</v>
      </c>
    </row>
    <row r="562" spans="1:12" x14ac:dyDescent="0.25">
      <c r="A562" s="1">
        <v>40726</v>
      </c>
      <c r="B562" s="2" t="s">
        <v>36</v>
      </c>
      <c r="C562" t="s">
        <v>55</v>
      </c>
      <c r="D562" t="s">
        <v>208</v>
      </c>
      <c r="E562" s="2">
        <v>45806</v>
      </c>
      <c r="F562" s="2" cm="1">
        <f t="array" ref="F562">_xlfn.IFS(B562="Owner Surrender",E562,B562="Stray",E562+6,B562="Stray w/identification",E562+11,B562="Bite",E562+10,B562="Other",E562+30,B562="BAS",E562+56,B562="Seized",E562)</f>
        <v>45806</v>
      </c>
      <c r="G562" s="2">
        <v>45820</v>
      </c>
      <c r="H562" s="6">
        <f t="shared" si="16"/>
        <v>14</v>
      </c>
      <c r="I562" s="6">
        <f t="shared" si="18"/>
        <v>14</v>
      </c>
      <c r="J562" s="2" t="s">
        <v>18</v>
      </c>
    </row>
    <row r="563" spans="1:12" x14ac:dyDescent="0.25">
      <c r="A563" s="1">
        <v>40730</v>
      </c>
      <c r="B563" s="2" t="s">
        <v>38</v>
      </c>
      <c r="C563" t="s">
        <v>142</v>
      </c>
      <c r="D563" t="s">
        <v>209</v>
      </c>
      <c r="E563" s="2">
        <v>45806</v>
      </c>
      <c r="F563" s="2" cm="1">
        <f t="array" ref="F563">_xlfn.IFS(B563="Owner Surrender",E563,B563="Stray",E563+6,B563="Stray w/identification",E563+11,B563="Bite",E563+10,B563="Other",E563+30,B563="BAS",E563+56,B563="Seized",E563)</f>
        <v>45812</v>
      </c>
      <c r="G563" s="2">
        <v>45813</v>
      </c>
      <c r="H563" s="6">
        <f t="shared" si="16"/>
        <v>7</v>
      </c>
      <c r="I563" s="6">
        <f t="shared" ref="I563:I594" si="19">G563-F563</f>
        <v>1</v>
      </c>
      <c r="J563" s="2" t="s">
        <v>11</v>
      </c>
    </row>
    <row r="564" spans="1:12" x14ac:dyDescent="0.25">
      <c r="A564" s="1">
        <v>40731</v>
      </c>
      <c r="B564" s="2" t="s">
        <v>38</v>
      </c>
      <c r="C564" t="s">
        <v>142</v>
      </c>
      <c r="D564" t="s">
        <v>209</v>
      </c>
      <c r="E564" s="2">
        <v>45806</v>
      </c>
      <c r="F564" s="2" cm="1">
        <f t="array" ref="F564">_xlfn.IFS(B564="Owner Surrender",E564,B564="Stray",E564+6,B564="Stray w/identification",E564+11,B564="Bite",E564+10,B564="Other",E564+30,B564="BAS",E564+56,B564="Seized",E564)</f>
        <v>45812</v>
      </c>
      <c r="G564" s="2">
        <v>45828</v>
      </c>
      <c r="H564" s="6">
        <f t="shared" si="16"/>
        <v>22</v>
      </c>
      <c r="I564" s="6">
        <f t="shared" si="19"/>
        <v>16</v>
      </c>
      <c r="J564" s="2" t="s">
        <v>11</v>
      </c>
    </row>
    <row r="565" spans="1:12" x14ac:dyDescent="0.25">
      <c r="A565" s="1">
        <v>40732</v>
      </c>
      <c r="B565" s="2" t="s">
        <v>36</v>
      </c>
      <c r="C565" t="s">
        <v>490</v>
      </c>
      <c r="D565" t="s">
        <v>210</v>
      </c>
      <c r="E565" s="2">
        <v>45806</v>
      </c>
      <c r="F565" s="2" cm="1">
        <f t="array" ref="F565">_xlfn.IFS(B565="Owner Surrender",E565,B565="Stray",E565+6,B565="Stray w/identification",E565+11,B565="Bite",E565+10,B565="Other",E565+30,B565="BAS",E565+56,B565="Seized",E565)</f>
        <v>45806</v>
      </c>
      <c r="G565" s="2">
        <v>45807</v>
      </c>
      <c r="H565" s="6">
        <f t="shared" si="16"/>
        <v>1</v>
      </c>
      <c r="I565" s="6">
        <f t="shared" si="19"/>
        <v>1</v>
      </c>
      <c r="J565" s="2" t="s">
        <v>11</v>
      </c>
    </row>
    <row r="566" spans="1:12" x14ac:dyDescent="0.25">
      <c r="A566" s="1">
        <v>40733</v>
      </c>
      <c r="B566" s="2" t="s">
        <v>36</v>
      </c>
      <c r="C566" t="s">
        <v>96</v>
      </c>
      <c r="D566" t="s">
        <v>208</v>
      </c>
      <c r="E566" s="2">
        <v>45806</v>
      </c>
      <c r="F566" s="2" cm="1">
        <f t="array" ref="F566">_xlfn.IFS(B566="Owner Surrender",E566,B566="Stray",E566+6,B566="Stray w/identification",E566+11,B566="Bite",E566+10,B566="Other",E566+30,B566="BAS",E566+56,B566="Seized",E566)</f>
        <v>45806</v>
      </c>
      <c r="G566" s="2">
        <v>45807</v>
      </c>
      <c r="H566" s="6">
        <f t="shared" si="16"/>
        <v>1</v>
      </c>
      <c r="I566" s="6">
        <f t="shared" si="19"/>
        <v>1</v>
      </c>
      <c r="J566" s="2" t="s">
        <v>31</v>
      </c>
      <c r="L566" t="s">
        <v>552</v>
      </c>
    </row>
    <row r="567" spans="1:12" x14ac:dyDescent="0.25">
      <c r="A567" s="1">
        <v>40750</v>
      </c>
      <c r="B567" s="2" t="s">
        <v>38</v>
      </c>
      <c r="C567" t="s">
        <v>79</v>
      </c>
      <c r="D567" t="s">
        <v>210</v>
      </c>
      <c r="E567" s="2">
        <v>45808</v>
      </c>
      <c r="F567" s="2" cm="1">
        <f t="array" ref="F567">_xlfn.IFS(B567="Owner Surrender",E567,B567="Stray",E567+6,B567="Stray w/identification",E567+11,B567="Bite",E567+10,B567="Other",E567+30,B567="BAS",E567+56,B567="Seized",E567)</f>
        <v>45814</v>
      </c>
      <c r="G567" s="2">
        <v>45813</v>
      </c>
      <c r="H567" s="6">
        <f t="shared" si="16"/>
        <v>5</v>
      </c>
      <c r="I567" s="6">
        <f t="shared" si="19"/>
        <v>-1</v>
      </c>
      <c r="J567" s="2" t="s">
        <v>11</v>
      </c>
    </row>
    <row r="568" spans="1:12" x14ac:dyDescent="0.25">
      <c r="A568" s="1">
        <v>40751</v>
      </c>
      <c r="B568" s="2" t="s">
        <v>38</v>
      </c>
      <c r="C568" t="s">
        <v>149</v>
      </c>
      <c r="D568" t="s">
        <v>210</v>
      </c>
      <c r="E568" s="2">
        <v>45808</v>
      </c>
      <c r="F568" s="2" cm="1">
        <f t="array" ref="F568">_xlfn.IFS(B568="Owner Surrender",E568,B568="Stray",E568+6,B568="Stray w/identification",E568+11,B568="Bite",E568+10,B568="Other",E568+30,B568="BAS",E568+56,B568="Seized",E568)</f>
        <v>45814</v>
      </c>
      <c r="G568" s="2">
        <v>45818</v>
      </c>
      <c r="H568" s="6">
        <f t="shared" si="16"/>
        <v>10</v>
      </c>
      <c r="I568" s="6">
        <f t="shared" si="19"/>
        <v>4</v>
      </c>
      <c r="J568" s="2" t="s">
        <v>31</v>
      </c>
    </row>
    <row r="569" spans="1:12" x14ac:dyDescent="0.25">
      <c r="A569" s="1">
        <v>40759</v>
      </c>
      <c r="B569" s="2" t="s">
        <v>36</v>
      </c>
      <c r="C569" t="s">
        <v>79</v>
      </c>
      <c r="D569" t="s">
        <v>208</v>
      </c>
      <c r="E569" s="2">
        <v>45808</v>
      </c>
      <c r="F569" s="2" cm="1">
        <f t="array" ref="F569">_xlfn.IFS(B569="Owner Surrender",E569,B569="Stray",E569+6,B569="Stray w/identification",E569+11,B569="Bite",E569+10,B569="Other",E569+30,B569="BAS",E569+56,B569="Seized",E569)</f>
        <v>45808</v>
      </c>
      <c r="G569" s="2">
        <v>45820</v>
      </c>
      <c r="H569" s="6">
        <f t="shared" si="16"/>
        <v>12</v>
      </c>
      <c r="I569" s="6">
        <f t="shared" si="19"/>
        <v>12</v>
      </c>
      <c r="J569" s="2" t="s">
        <v>18</v>
      </c>
      <c r="K569" t="s">
        <v>562</v>
      </c>
    </row>
    <row r="570" spans="1:12" x14ac:dyDescent="0.25">
      <c r="A570" s="1">
        <v>40760</v>
      </c>
      <c r="B570" s="2" t="s">
        <v>38</v>
      </c>
      <c r="C570" t="s">
        <v>49</v>
      </c>
      <c r="D570" t="s">
        <v>208</v>
      </c>
      <c r="E570" s="2">
        <v>45808</v>
      </c>
      <c r="F570" s="2" cm="1">
        <f t="array" ref="F570">_xlfn.IFS(B570="Owner Surrender",E570,B570="Stray",E570+6,B570="Stray w/identification",E570+11,B570="Bite",E570+10,B570="Other",E570+30,B570="BAS",E570+56,B570="Seized",E570)</f>
        <v>45814</v>
      </c>
      <c r="G570" s="2">
        <v>45818</v>
      </c>
      <c r="H570" s="6">
        <f t="shared" si="16"/>
        <v>10</v>
      </c>
      <c r="I570" s="6">
        <f t="shared" si="19"/>
        <v>4</v>
      </c>
      <c r="J570" s="2" t="s">
        <v>31</v>
      </c>
    </row>
    <row r="571" spans="1:12" x14ac:dyDescent="0.25">
      <c r="A571" s="3">
        <v>40761</v>
      </c>
      <c r="B571" s="2" t="s">
        <v>38</v>
      </c>
      <c r="C571" t="s">
        <v>49</v>
      </c>
      <c r="D571" t="s">
        <v>208</v>
      </c>
      <c r="E571" s="2">
        <v>45808</v>
      </c>
      <c r="F571" s="2" cm="1">
        <f t="array" ref="F571">_xlfn.IFS(B571="Owner Surrender",E571,B571="Stray",E571+6,B571="Stray w/identification",E571+11,B571="Bite",E571+10,B571="Other",E571+30,B571="BAS",E571+56,B571="Seized",E571)</f>
        <v>45814</v>
      </c>
      <c r="G571" s="2">
        <v>45841</v>
      </c>
      <c r="H571" s="6">
        <f t="shared" si="16"/>
        <v>33</v>
      </c>
      <c r="I571" s="6">
        <f t="shared" si="19"/>
        <v>27</v>
      </c>
      <c r="J571" s="2" t="s">
        <v>31</v>
      </c>
      <c r="K571" t="s">
        <v>186</v>
      </c>
      <c r="L571" t="s">
        <v>187</v>
      </c>
    </row>
    <row r="572" spans="1:12" x14ac:dyDescent="0.25">
      <c r="A572" s="1">
        <v>40767</v>
      </c>
      <c r="B572" s="2" t="s">
        <v>180</v>
      </c>
      <c r="C572" t="s">
        <v>109</v>
      </c>
      <c r="D572" t="s">
        <v>208</v>
      </c>
      <c r="E572" s="2">
        <v>45810</v>
      </c>
      <c r="F572" s="2" cm="1">
        <f t="array" ref="F572">_xlfn.IFS(B572="Owner Surrender",E572,B572="Stray",E572+6,B572="Stray w/identification",E572+11,B572="Bite",E572+10,B572="Other",E572+30,B572="BAS",E572+56,B572="Seized",E572)</f>
        <v>45821</v>
      </c>
      <c r="G572" s="2">
        <v>45825</v>
      </c>
      <c r="H572" s="6">
        <f t="shared" si="16"/>
        <v>15</v>
      </c>
      <c r="I572" s="6">
        <f t="shared" si="19"/>
        <v>4</v>
      </c>
      <c r="J572" s="2" t="s">
        <v>31</v>
      </c>
    </row>
    <row r="573" spans="1:12" x14ac:dyDescent="0.25">
      <c r="A573" s="1">
        <v>40777</v>
      </c>
      <c r="B573" s="2" t="s">
        <v>38</v>
      </c>
      <c r="C573" t="s">
        <v>149</v>
      </c>
      <c r="D573" t="s">
        <v>210</v>
      </c>
      <c r="E573" s="2">
        <v>45810</v>
      </c>
      <c r="F573" s="2" cm="1">
        <f t="array" ref="F573">_xlfn.IFS(B573="Owner Surrender",E573,B573="Stray",E573+6,B573="Stray w/identification",E573+11,B573="Bite",E573+10,B573="Other",E573+30,B573="BAS",E573+56,B573="Seized",E573)</f>
        <v>45816</v>
      </c>
      <c r="G573" s="2">
        <v>45818</v>
      </c>
      <c r="H573" s="6">
        <f t="shared" si="16"/>
        <v>8</v>
      </c>
      <c r="I573" s="6">
        <f t="shared" si="19"/>
        <v>2</v>
      </c>
      <c r="J573" s="2" t="s">
        <v>31</v>
      </c>
      <c r="K573" t="s">
        <v>559</v>
      </c>
    </row>
    <row r="574" spans="1:12" x14ac:dyDescent="0.25">
      <c r="A574" s="1">
        <v>40778</v>
      </c>
      <c r="B574" s="2" t="s">
        <v>38</v>
      </c>
      <c r="C574" t="s">
        <v>96</v>
      </c>
      <c r="D574" t="s">
        <v>208</v>
      </c>
      <c r="E574" s="2">
        <v>45811</v>
      </c>
      <c r="F574" s="2" cm="1">
        <f t="array" ref="F574">_xlfn.IFS(B574="Owner Surrender",E574,B574="Stray",E574+6,B574="Stray w/identification",E574+11,B574="Bite",E574+10,B574="Other",E574+30,B574="BAS",E574+56,B574="Seized",E574)</f>
        <v>45817</v>
      </c>
      <c r="G574" s="2">
        <v>45818</v>
      </c>
      <c r="H574" s="6">
        <f t="shared" si="16"/>
        <v>7</v>
      </c>
      <c r="I574" s="6">
        <f t="shared" si="19"/>
        <v>1</v>
      </c>
      <c r="J574" s="2" t="s">
        <v>11</v>
      </c>
      <c r="K574" t="s">
        <v>558</v>
      </c>
    </row>
    <row r="575" spans="1:12" x14ac:dyDescent="0.25">
      <c r="A575" s="3">
        <v>40787</v>
      </c>
      <c r="B575" s="2" t="s">
        <v>36</v>
      </c>
      <c r="C575" t="s">
        <v>56</v>
      </c>
      <c r="D575" t="s">
        <v>208</v>
      </c>
      <c r="E575" s="2">
        <v>45811</v>
      </c>
      <c r="F575" s="2" cm="1">
        <f t="array" ref="F575">_xlfn.IFS(B575="Owner Surrender",E575,B575="Stray",E575+6,B575="Stray w/identification",E575+11,B575="Bite",E575+10,B575="Other",E575+30,B575="BAS",E575+56,B575="Seized",E575)</f>
        <v>45811</v>
      </c>
      <c r="G575" s="2">
        <v>45841</v>
      </c>
      <c r="H575" s="6">
        <f t="shared" si="16"/>
        <v>30</v>
      </c>
      <c r="I575" s="6">
        <f t="shared" si="19"/>
        <v>30</v>
      </c>
      <c r="J575" s="2" t="s">
        <v>11</v>
      </c>
      <c r="K575" t="s">
        <v>257</v>
      </c>
    </row>
    <row r="576" spans="1:12" x14ac:dyDescent="0.25">
      <c r="A576" s="1">
        <v>40789</v>
      </c>
      <c r="B576" s="2" t="s">
        <v>180</v>
      </c>
      <c r="C576" t="s">
        <v>162</v>
      </c>
      <c r="D576" t="s">
        <v>208</v>
      </c>
      <c r="E576" s="2">
        <v>45811</v>
      </c>
      <c r="F576" s="2" cm="1">
        <f t="array" ref="F576">_xlfn.IFS(B576="Owner Surrender",E576,B576="Stray",E576+6,B576="Stray w/identification",E576+11,B576="Bite",E576+10,B576="Other",E576+30,B576="BAS",E576+56,B576="Seized",E576)</f>
        <v>45822</v>
      </c>
      <c r="G576" s="2">
        <v>45826</v>
      </c>
      <c r="H576" s="6">
        <f t="shared" si="16"/>
        <v>15</v>
      </c>
      <c r="I576" s="6">
        <f t="shared" si="19"/>
        <v>4</v>
      </c>
      <c r="J576" s="2" t="s">
        <v>31</v>
      </c>
      <c r="L576" t="s">
        <v>67</v>
      </c>
    </row>
    <row r="577" spans="1:12" x14ac:dyDescent="0.25">
      <c r="A577" s="1">
        <v>40792</v>
      </c>
      <c r="B577" s="2" t="s">
        <v>38</v>
      </c>
      <c r="C577" t="s">
        <v>50</v>
      </c>
      <c r="D577" t="s">
        <v>208</v>
      </c>
      <c r="E577" s="2">
        <v>45812</v>
      </c>
      <c r="F577" s="2" cm="1">
        <f t="array" ref="F577">_xlfn.IFS(B577="Owner Surrender",E577,B577="Stray",E577+6,B577="Stray w/identification",E577+11,B577="Bite",E577+10,B577="Other",E577+30,B577="BAS",E577+56,B577="Seized",E577)</f>
        <v>45818</v>
      </c>
      <c r="G577" s="2">
        <v>45824</v>
      </c>
      <c r="H577" s="6">
        <f t="shared" si="16"/>
        <v>12</v>
      </c>
      <c r="I577" s="6">
        <f t="shared" si="19"/>
        <v>6</v>
      </c>
      <c r="J577" s="2" t="s">
        <v>11</v>
      </c>
    </row>
    <row r="578" spans="1:12" x14ac:dyDescent="0.25">
      <c r="A578" s="1">
        <v>40800</v>
      </c>
      <c r="B578" s="2" t="s">
        <v>38</v>
      </c>
      <c r="C578" t="s">
        <v>73</v>
      </c>
      <c r="D578" t="s">
        <v>208</v>
      </c>
      <c r="E578" s="2">
        <v>45812</v>
      </c>
      <c r="F578" s="2" cm="1">
        <f t="array" ref="F578">_xlfn.IFS(B578="Owner Surrender",E578,B578="Stray",E578+6,B578="Stray w/identification",E578+11,B578="Bite",E578+10,B578="Other",E578+30,B578="BAS",E578+56,B578="Seized",E578)</f>
        <v>45818</v>
      </c>
      <c r="G578" s="2">
        <v>45814</v>
      </c>
      <c r="H578" s="6">
        <f t="shared" si="16"/>
        <v>2</v>
      </c>
      <c r="I578" s="6">
        <f t="shared" si="19"/>
        <v>-4</v>
      </c>
      <c r="J578" s="2" t="s">
        <v>18</v>
      </c>
      <c r="K578" t="s">
        <v>575</v>
      </c>
    </row>
    <row r="579" spans="1:12" x14ac:dyDescent="0.25">
      <c r="A579" s="1">
        <v>40801</v>
      </c>
      <c r="B579" s="2" t="s">
        <v>38</v>
      </c>
      <c r="C579" t="s">
        <v>52</v>
      </c>
      <c r="D579" t="s">
        <v>208</v>
      </c>
      <c r="E579" s="2">
        <v>45812</v>
      </c>
      <c r="F579" s="2" cm="1">
        <f t="array" ref="F579">_xlfn.IFS(B579="Owner Surrender",E579,B579="Stray",E579+6,B579="Stray w/identification",E579+11,B579="Bite",E579+10,B579="Other",E579+30,B579="BAS",E579+56,B579="Seized",E579)</f>
        <v>45818</v>
      </c>
      <c r="G579" s="2">
        <v>45821</v>
      </c>
      <c r="H579" s="6">
        <f t="shared" ref="H579:H642" si="20">+G579-E579</f>
        <v>9</v>
      </c>
      <c r="I579" s="6">
        <f t="shared" si="19"/>
        <v>3</v>
      </c>
      <c r="J579" s="2" t="s">
        <v>11</v>
      </c>
    </row>
    <row r="580" spans="1:12" x14ac:dyDescent="0.25">
      <c r="A580" s="1">
        <v>40805</v>
      </c>
      <c r="B580" s="2" t="s">
        <v>36</v>
      </c>
      <c r="C580" t="s">
        <v>576</v>
      </c>
      <c r="D580" t="s">
        <v>208</v>
      </c>
      <c r="E580" s="2">
        <v>45813</v>
      </c>
      <c r="F580" s="2" cm="1">
        <f t="array" ref="F580">_xlfn.IFS(B580="Owner Surrender",E580,B580="Stray",E580+6,B580="Stray w/identification",E580+11,B580="Bite",E580+10,B580="Other",E580+30,B580="BAS",E580+56,B580="Seized",E580)</f>
        <v>45813</v>
      </c>
      <c r="G580" s="2">
        <v>45814</v>
      </c>
      <c r="H580" s="6">
        <f t="shared" si="20"/>
        <v>1</v>
      </c>
      <c r="I580" s="6">
        <f t="shared" si="19"/>
        <v>1</v>
      </c>
      <c r="J580" s="2" t="s">
        <v>31</v>
      </c>
      <c r="K580" t="s">
        <v>577</v>
      </c>
    </row>
    <row r="581" spans="1:12" x14ac:dyDescent="0.25">
      <c r="A581" s="1">
        <v>40806</v>
      </c>
      <c r="B581" s="2" t="s">
        <v>36</v>
      </c>
      <c r="C581" t="s">
        <v>576</v>
      </c>
      <c r="D581" t="s">
        <v>208</v>
      </c>
      <c r="E581" s="2">
        <v>45813</v>
      </c>
      <c r="F581" s="2" cm="1">
        <f t="array" ref="F581">_xlfn.IFS(B581="Owner Surrender",E581,B581="Stray",E581+6,B581="Stray w/identification",E581+11,B581="Bite",E581+10,B581="Other",E581+30,B581="BAS",E581+56,B581="Seized",E581)</f>
        <v>45813</v>
      </c>
      <c r="G581" s="2">
        <v>45814</v>
      </c>
      <c r="H581" s="6">
        <f t="shared" si="20"/>
        <v>1</v>
      </c>
      <c r="I581" s="6">
        <f t="shared" si="19"/>
        <v>1</v>
      </c>
      <c r="J581" s="2" t="s">
        <v>31</v>
      </c>
      <c r="K581" t="s">
        <v>150</v>
      </c>
    </row>
    <row r="582" spans="1:12" x14ac:dyDescent="0.25">
      <c r="A582" s="1">
        <v>40807</v>
      </c>
      <c r="B582" s="2" t="s">
        <v>36</v>
      </c>
      <c r="C582" t="s">
        <v>56</v>
      </c>
      <c r="D582" t="s">
        <v>208</v>
      </c>
      <c r="E582" s="2">
        <v>45813</v>
      </c>
      <c r="F582" s="2" cm="1">
        <f t="array" ref="F582">_xlfn.IFS(B582="Owner Surrender",E582,B582="Stray",E582+6,B582="Stray w/identification",E582+11,B582="Bite",E582+10,B582="Other",E582+30,B582="BAS",E582+56,B582="Seized",E582)</f>
        <v>45813</v>
      </c>
      <c r="G582" s="2">
        <v>45819</v>
      </c>
      <c r="H582" s="6">
        <f t="shared" si="20"/>
        <v>6</v>
      </c>
      <c r="I582" s="6">
        <f t="shared" si="19"/>
        <v>6</v>
      </c>
      <c r="J582" s="2" t="s">
        <v>31</v>
      </c>
    </row>
    <row r="583" spans="1:12" x14ac:dyDescent="0.25">
      <c r="A583" s="1">
        <v>40808</v>
      </c>
      <c r="B583" s="2" t="s">
        <v>36</v>
      </c>
      <c r="C583" t="s">
        <v>56</v>
      </c>
      <c r="D583" t="s">
        <v>208</v>
      </c>
      <c r="E583" s="2">
        <v>45813</v>
      </c>
      <c r="F583" s="2" cm="1">
        <f t="array" ref="F583">_xlfn.IFS(B583="Owner Surrender",E583,B583="Stray",E583+6,B583="Stray w/identification",E583+11,B583="Bite",E583+10,B583="Other",E583+30,B583="BAS",E583+56,B583="Seized",E583)</f>
        <v>45813</v>
      </c>
      <c r="G583" s="2">
        <v>45819</v>
      </c>
      <c r="H583" s="6">
        <f t="shared" si="20"/>
        <v>6</v>
      </c>
      <c r="I583" s="6">
        <f t="shared" si="19"/>
        <v>6</v>
      </c>
      <c r="J583" s="2" t="s">
        <v>31</v>
      </c>
    </row>
    <row r="584" spans="1:12" x14ac:dyDescent="0.25">
      <c r="A584" s="3">
        <v>40811</v>
      </c>
      <c r="B584" s="2" t="s">
        <v>53</v>
      </c>
      <c r="C584" t="s">
        <v>79</v>
      </c>
      <c r="D584" t="s">
        <v>208</v>
      </c>
      <c r="E584" s="2">
        <v>45813</v>
      </c>
      <c r="F584" s="2" cm="1">
        <f t="array" ref="F584">_xlfn.IFS(B584="Owner Surrender",E584,B584="Stray",E584+6,B584="Stray w/identification",E584+11,B584="Bite",E584+10,B584="Other",E584+30,B584="BAS",E584+56,B584="Seized",E584)</f>
        <v>45813</v>
      </c>
      <c r="G584" s="2">
        <v>45813</v>
      </c>
      <c r="H584" s="6">
        <f t="shared" si="20"/>
        <v>0</v>
      </c>
      <c r="I584" s="6">
        <f t="shared" si="19"/>
        <v>0</v>
      </c>
      <c r="J584" s="2" t="s">
        <v>18</v>
      </c>
      <c r="K584" s="2" t="s">
        <v>99</v>
      </c>
      <c r="L584" s="2" t="s">
        <v>19</v>
      </c>
    </row>
    <row r="585" spans="1:12" x14ac:dyDescent="0.25">
      <c r="A585" s="3">
        <v>40812</v>
      </c>
      <c r="B585" s="2" t="s">
        <v>53</v>
      </c>
      <c r="C585" t="s">
        <v>114</v>
      </c>
      <c r="D585" t="s">
        <v>208</v>
      </c>
      <c r="E585" s="2">
        <v>45813</v>
      </c>
      <c r="F585" s="2" cm="1">
        <f t="array" ref="F585">_xlfn.IFS(B585="Owner Surrender",E585,B585="Stray",E585+6,B585="Stray w/identification",E585+11,B585="Bite",E585+10,B585="Other",E585+30,B585="BAS",E585+56,B585="Seized",E585)</f>
        <v>45813</v>
      </c>
      <c r="G585" s="2">
        <v>45846</v>
      </c>
      <c r="H585" s="6">
        <f t="shared" si="20"/>
        <v>33</v>
      </c>
      <c r="I585" s="6">
        <f t="shared" si="19"/>
        <v>33</v>
      </c>
      <c r="J585" s="2" t="s">
        <v>31</v>
      </c>
      <c r="K585" s="2" t="s">
        <v>115</v>
      </c>
      <c r="L585" t="s">
        <v>188</v>
      </c>
    </row>
    <row r="586" spans="1:12" x14ac:dyDescent="0.25">
      <c r="A586" s="3">
        <v>40813</v>
      </c>
      <c r="B586" s="2" t="s">
        <v>53</v>
      </c>
      <c r="C586" t="s">
        <v>73</v>
      </c>
      <c r="D586" t="s">
        <v>209</v>
      </c>
      <c r="E586" s="2">
        <v>45813</v>
      </c>
      <c r="F586" s="2" cm="1">
        <f t="array" ref="F586">_xlfn.IFS(B586="Owner Surrender",E586,B586="Stray",E586+6,B586="Stray w/identification",E586+11,B586="Bite",E586+10,B586="Other",E586+30,B586="BAS",E586+56,B586="Seized",E586)</f>
        <v>45813</v>
      </c>
      <c r="G586" s="2">
        <v>45846</v>
      </c>
      <c r="H586" s="6">
        <f t="shared" si="20"/>
        <v>33</v>
      </c>
      <c r="I586" s="6">
        <f t="shared" si="19"/>
        <v>33</v>
      </c>
      <c r="J586" s="2" t="s">
        <v>31</v>
      </c>
      <c r="L586" t="s">
        <v>67</v>
      </c>
    </row>
    <row r="587" spans="1:12" x14ac:dyDescent="0.25">
      <c r="A587" s="3">
        <v>40814</v>
      </c>
      <c r="B587" s="2" t="s">
        <v>53</v>
      </c>
      <c r="C587" t="s">
        <v>73</v>
      </c>
      <c r="D587" t="s">
        <v>209</v>
      </c>
      <c r="E587" s="2">
        <v>45813</v>
      </c>
      <c r="F587" s="2" cm="1">
        <f t="array" ref="F587">_xlfn.IFS(B587="Owner Surrender",E587,B587="Stray",E587+6,B587="Stray w/identification",E587+11,B587="Bite",E587+10,B587="Other",E587+30,B587="BAS",E587+56,B587="Seized",E587)</f>
        <v>45813</v>
      </c>
      <c r="G587" s="2">
        <v>45846</v>
      </c>
      <c r="H587" s="6">
        <f t="shared" si="20"/>
        <v>33</v>
      </c>
      <c r="I587" s="6">
        <f t="shared" si="19"/>
        <v>33</v>
      </c>
      <c r="J587" s="2" t="s">
        <v>31</v>
      </c>
      <c r="L587" t="s">
        <v>67</v>
      </c>
    </row>
    <row r="588" spans="1:12" x14ac:dyDescent="0.25">
      <c r="A588" s="3">
        <v>40815</v>
      </c>
      <c r="B588" s="2" t="s">
        <v>53</v>
      </c>
      <c r="C588" t="s">
        <v>73</v>
      </c>
      <c r="D588" t="s">
        <v>209</v>
      </c>
      <c r="E588" s="2">
        <v>45813</v>
      </c>
      <c r="F588" s="2" cm="1">
        <f t="array" ref="F588">_xlfn.IFS(B588="Owner Surrender",E588,B588="Stray",E588+6,B588="Stray w/identification",E588+11,B588="Bite",E588+10,B588="Other",E588+30,B588="BAS",E588+56,B588="Seized",E588)</f>
        <v>45813</v>
      </c>
      <c r="G588" s="2">
        <v>45846</v>
      </c>
      <c r="H588" s="6">
        <f t="shared" si="20"/>
        <v>33</v>
      </c>
      <c r="I588" s="6">
        <f t="shared" si="19"/>
        <v>33</v>
      </c>
      <c r="J588" s="2" t="s">
        <v>31</v>
      </c>
      <c r="L588" t="s">
        <v>67</v>
      </c>
    </row>
    <row r="589" spans="1:12" x14ac:dyDescent="0.25">
      <c r="A589" s="3">
        <v>40816</v>
      </c>
      <c r="B589" s="2" t="s">
        <v>53</v>
      </c>
      <c r="C589" t="s">
        <v>73</v>
      </c>
      <c r="D589" t="s">
        <v>209</v>
      </c>
      <c r="E589" s="2">
        <v>45813</v>
      </c>
      <c r="F589" s="2" cm="1">
        <f t="array" ref="F589">_xlfn.IFS(B589="Owner Surrender",E589,B589="Stray",E589+6,B589="Stray w/identification",E589+11,B589="Bite",E589+10,B589="Other",E589+30,B589="BAS",E589+56,B589="Seized",E589)</f>
        <v>45813</v>
      </c>
      <c r="G589" s="2">
        <v>45846</v>
      </c>
      <c r="H589" s="6">
        <f t="shared" si="20"/>
        <v>33</v>
      </c>
      <c r="I589" s="6">
        <f t="shared" si="19"/>
        <v>33</v>
      </c>
      <c r="J589" s="2" t="s">
        <v>31</v>
      </c>
      <c r="L589" t="s">
        <v>67</v>
      </c>
    </row>
    <row r="590" spans="1:12" x14ac:dyDescent="0.25">
      <c r="A590" s="3">
        <v>40817</v>
      </c>
      <c r="B590" s="2" t="s">
        <v>53</v>
      </c>
      <c r="C590" t="s">
        <v>73</v>
      </c>
      <c r="D590" t="s">
        <v>209</v>
      </c>
      <c r="E590" s="2">
        <v>45813</v>
      </c>
      <c r="F590" s="2" cm="1">
        <f t="array" ref="F590">_xlfn.IFS(B590="Owner Surrender",E590,B590="Stray",E590+6,B590="Stray w/identification",E590+11,B590="Bite",E590+10,B590="Other",E590+30,B590="BAS",E590+56,B590="Seized",E590)</f>
        <v>45813</v>
      </c>
      <c r="G590" s="2">
        <v>45846</v>
      </c>
      <c r="H590" s="6">
        <f t="shared" si="20"/>
        <v>33</v>
      </c>
      <c r="I590" s="6">
        <f t="shared" si="19"/>
        <v>33</v>
      </c>
      <c r="J590" s="2" t="s">
        <v>31</v>
      </c>
      <c r="L590" t="s">
        <v>67</v>
      </c>
    </row>
    <row r="591" spans="1:12" x14ac:dyDescent="0.25">
      <c r="A591" s="3">
        <v>40818</v>
      </c>
      <c r="B591" s="2" t="s">
        <v>53</v>
      </c>
      <c r="C591" t="s">
        <v>73</v>
      </c>
      <c r="D591" t="s">
        <v>209</v>
      </c>
      <c r="E591" s="2">
        <v>45813</v>
      </c>
      <c r="F591" s="2" cm="1">
        <f t="array" ref="F591">_xlfn.IFS(B591="Owner Surrender",E591,B591="Stray",E591+6,B591="Stray w/identification",E591+11,B591="Bite",E591+10,B591="Other",E591+30,B591="BAS",E591+56,B591="Seized",E591)</f>
        <v>45813</v>
      </c>
      <c r="G591" s="2">
        <v>45846</v>
      </c>
      <c r="H591" s="6">
        <f t="shared" si="20"/>
        <v>33</v>
      </c>
      <c r="I591" s="6">
        <f t="shared" si="19"/>
        <v>33</v>
      </c>
      <c r="J591" s="2" t="s">
        <v>31</v>
      </c>
      <c r="L591" t="s">
        <v>67</v>
      </c>
    </row>
    <row r="592" spans="1:12" x14ac:dyDescent="0.25">
      <c r="A592" s="3">
        <v>40819</v>
      </c>
      <c r="B592" s="2" t="s">
        <v>53</v>
      </c>
      <c r="C592" t="s">
        <v>73</v>
      </c>
      <c r="D592" t="s">
        <v>209</v>
      </c>
      <c r="E592" s="2">
        <v>45813</v>
      </c>
      <c r="F592" s="2" cm="1">
        <f t="array" ref="F592">_xlfn.IFS(B592="Owner Surrender",E592,B592="Stray",E592+6,B592="Stray w/identification",E592+11,B592="Bite",E592+10,B592="Other",E592+30,B592="BAS",E592+56,B592="Seized",E592)</f>
        <v>45813</v>
      </c>
      <c r="G592" s="2">
        <v>45846</v>
      </c>
      <c r="H592" s="6">
        <f t="shared" si="20"/>
        <v>33</v>
      </c>
      <c r="I592" s="6">
        <f t="shared" si="19"/>
        <v>33</v>
      </c>
      <c r="J592" s="2" t="s">
        <v>31</v>
      </c>
      <c r="L592" t="s">
        <v>67</v>
      </c>
    </row>
    <row r="593" spans="1:12" x14ac:dyDescent="0.25">
      <c r="A593" s="3">
        <v>40820</v>
      </c>
      <c r="B593" s="2" t="s">
        <v>53</v>
      </c>
      <c r="C593" t="s">
        <v>73</v>
      </c>
      <c r="D593" t="s">
        <v>209</v>
      </c>
      <c r="E593" s="2">
        <v>45813</v>
      </c>
      <c r="F593" s="2" cm="1">
        <f t="array" ref="F593">_xlfn.IFS(B593="Owner Surrender",E593,B593="Stray",E593+6,B593="Stray w/identification",E593+11,B593="Bite",E593+10,B593="Other",E593+30,B593="BAS",E593+56,B593="Seized",E593)</f>
        <v>45813</v>
      </c>
      <c r="G593" s="2">
        <v>45846</v>
      </c>
      <c r="H593" s="6">
        <f t="shared" si="20"/>
        <v>33</v>
      </c>
      <c r="I593" s="6">
        <f t="shared" si="19"/>
        <v>33</v>
      </c>
      <c r="J593" s="2" t="s">
        <v>31</v>
      </c>
      <c r="L593" t="s">
        <v>67</v>
      </c>
    </row>
    <row r="594" spans="1:12" x14ac:dyDescent="0.25">
      <c r="A594" s="3">
        <v>40821</v>
      </c>
      <c r="B594" s="2" t="s">
        <v>53</v>
      </c>
      <c r="C594" t="s">
        <v>73</v>
      </c>
      <c r="D594" t="s">
        <v>209</v>
      </c>
      <c r="E594" s="2">
        <v>45813</v>
      </c>
      <c r="F594" s="2" cm="1">
        <f t="array" ref="F594">_xlfn.IFS(B594="Owner Surrender",E594,B594="Stray",E594+6,B594="Stray w/identification",E594+11,B594="Bite",E594+10,B594="Other",E594+30,B594="BAS",E594+56,B594="Seized",E594)</f>
        <v>45813</v>
      </c>
      <c r="G594" s="2">
        <v>45846</v>
      </c>
      <c r="H594" s="6">
        <f t="shared" si="20"/>
        <v>33</v>
      </c>
      <c r="I594" s="6">
        <f t="shared" si="19"/>
        <v>33</v>
      </c>
      <c r="J594" s="2" t="s">
        <v>31</v>
      </c>
      <c r="L594" t="s">
        <v>67</v>
      </c>
    </row>
    <row r="595" spans="1:12" x14ac:dyDescent="0.25">
      <c r="A595" s="1">
        <v>40822</v>
      </c>
      <c r="B595" s="2" t="s">
        <v>180</v>
      </c>
      <c r="C595" t="s">
        <v>71</v>
      </c>
      <c r="D595" t="s">
        <v>208</v>
      </c>
      <c r="E595" s="2">
        <v>45814</v>
      </c>
      <c r="F595" s="2" cm="1">
        <f t="array" ref="F595">_xlfn.IFS(B595="Owner Surrender",E595,B595="Stray",E595+6,B595="Stray w/identification",E595+11,B595="Bite",E595+10,B595="Other",E595+30,B595="BAS",E595+56,B595="Seized",E595)</f>
        <v>45825</v>
      </c>
      <c r="G595" s="2">
        <v>45814</v>
      </c>
      <c r="H595" s="6">
        <f t="shared" si="20"/>
        <v>0</v>
      </c>
      <c r="I595" s="6">
        <f t="shared" ref="I595:I626" si="21">G595-F595</f>
        <v>-11</v>
      </c>
      <c r="J595" s="2" t="s">
        <v>8</v>
      </c>
    </row>
    <row r="596" spans="1:12" x14ac:dyDescent="0.25">
      <c r="A596" s="1">
        <v>40825</v>
      </c>
      <c r="B596" s="2" t="s">
        <v>180</v>
      </c>
      <c r="C596" t="s">
        <v>50</v>
      </c>
      <c r="D596" t="s">
        <v>208</v>
      </c>
      <c r="E596" s="2">
        <v>45783</v>
      </c>
      <c r="F596" s="2" cm="1">
        <f t="array" ref="F596">_xlfn.IFS(B596="Owner Surrender",E596,B596="Stray",E596+6,B596="Stray w/identification",E596+11,B596="Bite",E596+10,B596="Other",E596+30,B596="BAS",E596+56,B596="Seized",E596)</f>
        <v>45794</v>
      </c>
      <c r="G596" s="2">
        <v>45814</v>
      </c>
      <c r="H596" s="6">
        <f t="shared" si="20"/>
        <v>31</v>
      </c>
      <c r="I596" s="6">
        <f t="shared" si="21"/>
        <v>20</v>
      </c>
      <c r="J596" s="2" t="s">
        <v>8</v>
      </c>
    </row>
    <row r="597" spans="1:12" x14ac:dyDescent="0.25">
      <c r="A597" s="1">
        <v>40826</v>
      </c>
      <c r="B597" s="2" t="s">
        <v>36</v>
      </c>
      <c r="C597" t="s">
        <v>168</v>
      </c>
      <c r="D597" t="s">
        <v>208</v>
      </c>
      <c r="E597" s="2">
        <v>45814</v>
      </c>
      <c r="F597" s="2" cm="1">
        <f t="array" ref="F597">_xlfn.IFS(B597="Owner Surrender",E597,B597="Stray",E597+6,B597="Stray w/identification",E597+11,B597="Bite",E597+10,B597="Other",E597+30,B597="BAS",E597+56,B597="Seized",E597)</f>
        <v>45814</v>
      </c>
      <c r="G597" s="2">
        <v>45828</v>
      </c>
      <c r="H597" s="6">
        <f t="shared" si="20"/>
        <v>14</v>
      </c>
      <c r="I597" s="6">
        <f t="shared" si="21"/>
        <v>14</v>
      </c>
      <c r="J597" s="2" t="s">
        <v>31</v>
      </c>
    </row>
    <row r="598" spans="1:12" x14ac:dyDescent="0.25">
      <c r="A598" s="1">
        <v>40846</v>
      </c>
      <c r="B598" s="2" t="s">
        <v>38</v>
      </c>
      <c r="C598" t="s">
        <v>56</v>
      </c>
      <c r="D598" t="s">
        <v>208</v>
      </c>
      <c r="E598" s="2">
        <v>45816</v>
      </c>
      <c r="F598" s="2" cm="1">
        <f t="array" ref="F598">_xlfn.IFS(B598="Owner Surrender",E598,B598="Stray",E598+6,B598="Stray w/identification",E598+11,B598="Bite",E598+10,B598="Other",E598+30,B598="BAS",E598+56,B598="Seized",E598)</f>
        <v>45822</v>
      </c>
      <c r="G598" s="2">
        <v>45826</v>
      </c>
      <c r="H598" s="6">
        <f t="shared" si="20"/>
        <v>10</v>
      </c>
      <c r="I598" s="6">
        <f t="shared" si="21"/>
        <v>4</v>
      </c>
      <c r="J598" s="2" t="s">
        <v>31</v>
      </c>
      <c r="K598" t="s">
        <v>420</v>
      </c>
    </row>
    <row r="599" spans="1:12" x14ac:dyDescent="0.25">
      <c r="A599" s="1">
        <v>40847</v>
      </c>
      <c r="B599" s="2" t="s">
        <v>38</v>
      </c>
      <c r="C599" t="s">
        <v>108</v>
      </c>
      <c r="D599" t="s">
        <v>208</v>
      </c>
      <c r="E599" s="2">
        <v>45816</v>
      </c>
      <c r="F599" s="2" cm="1">
        <f t="array" ref="F599">_xlfn.IFS(B599="Owner Surrender",E599,B599="Stray",E599+6,B599="Stray w/identification",E599+11,B599="Bite",E599+10,B599="Other",E599+30,B599="BAS",E599+56,B599="Seized",E599)</f>
        <v>45822</v>
      </c>
      <c r="G599" s="2">
        <v>45817</v>
      </c>
      <c r="H599" s="6">
        <f t="shared" si="20"/>
        <v>1</v>
      </c>
      <c r="I599" s="6">
        <f t="shared" si="21"/>
        <v>-5</v>
      </c>
      <c r="J599" s="2" t="s">
        <v>8</v>
      </c>
    </row>
    <row r="600" spans="1:12" x14ac:dyDescent="0.25">
      <c r="A600" s="1">
        <v>40850</v>
      </c>
      <c r="B600" s="2" t="s">
        <v>180</v>
      </c>
      <c r="C600" t="s">
        <v>49</v>
      </c>
      <c r="D600" t="s">
        <v>208</v>
      </c>
      <c r="E600" s="2">
        <v>45817</v>
      </c>
      <c r="F600" s="2" cm="1">
        <f t="array" ref="F600">_xlfn.IFS(B600="Owner Surrender",E600,B600="Stray",E600+6,B600="Stray w/identification",E600+11,B600="Bite",E600+10,B600="Other",E600+30,B600="BAS",E600+56,B600="Seized",E600)</f>
        <v>45828</v>
      </c>
      <c r="G600" s="2">
        <v>45834</v>
      </c>
      <c r="H600" s="6">
        <f t="shared" si="20"/>
        <v>17</v>
      </c>
      <c r="I600" s="6">
        <f t="shared" si="21"/>
        <v>6</v>
      </c>
      <c r="J600" s="2" t="s">
        <v>31</v>
      </c>
      <c r="K600" t="s">
        <v>574</v>
      </c>
    </row>
    <row r="601" spans="1:12" x14ac:dyDescent="0.25">
      <c r="A601" s="1">
        <v>40851</v>
      </c>
      <c r="B601" s="2" t="s">
        <v>38</v>
      </c>
      <c r="C601" t="s">
        <v>50</v>
      </c>
      <c r="D601" t="s">
        <v>208</v>
      </c>
      <c r="E601" s="2">
        <v>45817</v>
      </c>
      <c r="F601" s="2" cm="1">
        <f t="array" ref="F601">_xlfn.IFS(B601="Owner Surrender",E601,B601="Stray",E601+6,B601="Stray w/identification",E601+11,B601="Bite",E601+10,B601="Other",E601+30,B601="BAS",E601+56,B601="Seized",E601)</f>
        <v>45823</v>
      </c>
      <c r="G601" s="2">
        <v>45826</v>
      </c>
      <c r="H601" s="6">
        <f t="shared" si="20"/>
        <v>9</v>
      </c>
      <c r="I601" s="6">
        <f t="shared" si="21"/>
        <v>3</v>
      </c>
      <c r="J601" s="2" t="s">
        <v>31</v>
      </c>
      <c r="K601" t="s">
        <v>573</v>
      </c>
    </row>
    <row r="602" spans="1:12" x14ac:dyDescent="0.25">
      <c r="A602" s="1">
        <v>40866</v>
      </c>
      <c r="B602" s="2" t="s">
        <v>36</v>
      </c>
      <c r="C602" t="s">
        <v>50</v>
      </c>
      <c r="D602" t="s">
        <v>208</v>
      </c>
      <c r="E602" s="2">
        <v>45818</v>
      </c>
      <c r="F602" s="2" cm="1">
        <f t="array" ref="F602">_xlfn.IFS(B602="Owner Surrender",E602,B602="Stray",E602+6,B602="Stray w/identification",E602+11,B602="Bite",E602+10,B602="Other",E602+30,B602="BAS",E602+56,B602="Seized",E602)</f>
        <v>45818</v>
      </c>
      <c r="G602" s="2">
        <v>45826</v>
      </c>
      <c r="H602" s="6">
        <f t="shared" si="20"/>
        <v>8</v>
      </c>
      <c r="I602" s="6">
        <f t="shared" si="21"/>
        <v>8</v>
      </c>
      <c r="J602" s="2" t="s">
        <v>31</v>
      </c>
      <c r="K602" t="s">
        <v>260</v>
      </c>
    </row>
    <row r="603" spans="1:12" x14ac:dyDescent="0.25">
      <c r="A603" s="1">
        <v>40867</v>
      </c>
      <c r="B603" s="2" t="s">
        <v>36</v>
      </c>
      <c r="C603" t="s">
        <v>73</v>
      </c>
      <c r="D603" t="s">
        <v>209</v>
      </c>
      <c r="E603" s="2">
        <v>45818</v>
      </c>
      <c r="F603" s="2" cm="1">
        <f t="array" ref="F603">_xlfn.IFS(B603="Owner Surrender",E603,B603="Stray",E603+6,B603="Stray w/identification",E603+11,B603="Bite",E603+10,B603="Other",E603+30,B603="BAS",E603+56,B603="Seized",E603)</f>
        <v>45818</v>
      </c>
      <c r="G603" s="2">
        <v>45826</v>
      </c>
      <c r="H603" s="6">
        <f t="shared" si="20"/>
        <v>8</v>
      </c>
      <c r="I603" s="6">
        <f t="shared" si="21"/>
        <v>8</v>
      </c>
      <c r="J603" s="2" t="s">
        <v>31</v>
      </c>
      <c r="K603" t="s">
        <v>578</v>
      </c>
    </row>
    <row r="604" spans="1:12" x14ac:dyDescent="0.25">
      <c r="A604" s="1">
        <v>40868</v>
      </c>
      <c r="B604" s="2" t="s">
        <v>36</v>
      </c>
      <c r="C604" t="s">
        <v>571</v>
      </c>
      <c r="D604" t="s">
        <v>209</v>
      </c>
      <c r="E604" s="2">
        <v>45819</v>
      </c>
      <c r="F604" s="2" cm="1">
        <f t="array" ref="F604">_xlfn.IFS(B604="Owner Surrender",E604,B604="Stray",E604+6,B604="Stray w/identification",E604+11,B604="Bite",E604+10,B604="Other",E604+30,B604="BAS",E604+56,B604="Seized",E604)</f>
        <v>45819</v>
      </c>
      <c r="G604" s="2">
        <v>45822</v>
      </c>
      <c r="H604" s="6">
        <f t="shared" si="20"/>
        <v>3</v>
      </c>
      <c r="I604" s="6">
        <f t="shared" si="21"/>
        <v>3</v>
      </c>
      <c r="J604" s="2" t="s">
        <v>11</v>
      </c>
      <c r="K604" t="s">
        <v>572</v>
      </c>
    </row>
    <row r="605" spans="1:12" x14ac:dyDescent="0.25">
      <c r="A605" s="1">
        <v>40876</v>
      </c>
      <c r="B605" s="2" t="s">
        <v>180</v>
      </c>
      <c r="C605" t="s">
        <v>73</v>
      </c>
      <c r="D605" t="s">
        <v>208</v>
      </c>
      <c r="E605" s="2">
        <v>45819</v>
      </c>
      <c r="F605" s="2" cm="1">
        <f t="array" ref="F605">_xlfn.IFS(B605="Owner Surrender",E605,B605="Stray",E605+6,B605="Stray w/identification",E605+11,B605="Bite",E605+10,B605="Other",E605+30,B605="BAS",E605+56,B605="Seized",E605)</f>
        <v>45830</v>
      </c>
      <c r="G605" s="2">
        <v>45827</v>
      </c>
      <c r="H605" s="6">
        <f t="shared" si="20"/>
        <v>8</v>
      </c>
      <c r="I605" s="6">
        <f t="shared" si="21"/>
        <v>-3</v>
      </c>
      <c r="J605" s="2" t="s">
        <v>8</v>
      </c>
      <c r="K605" t="s">
        <v>226</v>
      </c>
    </row>
    <row r="606" spans="1:12" x14ac:dyDescent="0.25">
      <c r="A606" s="3">
        <v>40879</v>
      </c>
      <c r="B606" s="2" t="s">
        <v>180</v>
      </c>
      <c r="C606" t="s">
        <v>50</v>
      </c>
      <c r="D606" t="s">
        <v>210</v>
      </c>
      <c r="E606" s="2">
        <v>45819</v>
      </c>
      <c r="F606" s="2" cm="1">
        <f t="array" ref="F606">_xlfn.IFS(B606="Owner Surrender",E606,B606="Stray",E606+6,B606="Stray w/identification",E606+11,B606="Bite",E606+10,B606="Other",E606+30,B606="BAS",E606+56,B606="Seized",E606)</f>
        <v>45830</v>
      </c>
      <c r="G606" s="2">
        <v>45841</v>
      </c>
      <c r="H606" s="6">
        <f t="shared" si="20"/>
        <v>22</v>
      </c>
      <c r="I606" s="6">
        <f t="shared" si="21"/>
        <v>11</v>
      </c>
      <c r="J606" s="2" t="s">
        <v>11</v>
      </c>
      <c r="L606" t="s">
        <v>189</v>
      </c>
    </row>
    <row r="607" spans="1:12" x14ac:dyDescent="0.25">
      <c r="A607" s="1">
        <v>40880</v>
      </c>
      <c r="B607" s="2" t="s">
        <v>38</v>
      </c>
      <c r="C607" t="s">
        <v>570</v>
      </c>
      <c r="D607" t="s">
        <v>208</v>
      </c>
      <c r="E607" s="2">
        <v>45819</v>
      </c>
      <c r="F607" s="2" cm="1">
        <f t="array" ref="F607">_xlfn.IFS(B607="Owner Surrender",E607,B607="Stray",E607+6,B607="Stray w/identification",E607+11,B607="Bite",E607+10,B607="Other",E607+30,B607="BAS",E607+56,B607="Seized",E607)</f>
        <v>45825</v>
      </c>
      <c r="G607" s="2">
        <v>45826</v>
      </c>
      <c r="H607" s="6">
        <f t="shared" si="20"/>
        <v>7</v>
      </c>
      <c r="I607" s="6">
        <f t="shared" si="21"/>
        <v>1</v>
      </c>
      <c r="J607" s="2" t="s">
        <v>11</v>
      </c>
    </row>
    <row r="608" spans="1:12" x14ac:dyDescent="0.25">
      <c r="A608" s="1">
        <v>40881</v>
      </c>
      <c r="B608" s="2" t="s">
        <v>36</v>
      </c>
      <c r="C608" t="s">
        <v>140</v>
      </c>
      <c r="D608" t="s">
        <v>208</v>
      </c>
      <c r="E608" s="2">
        <v>45819</v>
      </c>
      <c r="F608" s="2" cm="1">
        <f t="array" ref="F608">_xlfn.IFS(B608="Owner Surrender",E608,B608="Stray",E608+6,B608="Stray w/identification",E608+11,B608="Bite",E608+10,B608="Other",E608+30,B608="BAS",E608+56,B608="Seized",E608)</f>
        <v>45819</v>
      </c>
      <c r="G608" s="2">
        <v>45820</v>
      </c>
      <c r="H608" s="6">
        <f t="shared" si="20"/>
        <v>1</v>
      </c>
      <c r="I608" s="6">
        <f t="shared" si="21"/>
        <v>1</v>
      </c>
      <c r="J608" s="2" t="s">
        <v>18</v>
      </c>
      <c r="K608" t="s">
        <v>569</v>
      </c>
    </row>
    <row r="609" spans="1:12" x14ac:dyDescent="0.25">
      <c r="A609" s="1">
        <v>40883</v>
      </c>
      <c r="B609" s="2" t="s">
        <v>38</v>
      </c>
      <c r="C609" t="s">
        <v>108</v>
      </c>
      <c r="D609" t="s">
        <v>208</v>
      </c>
      <c r="E609" s="2">
        <v>45820</v>
      </c>
      <c r="F609" s="2" cm="1">
        <f t="array" ref="F609">_xlfn.IFS(B609="Owner Surrender",E609,B609="Stray",E609+6,B609="Stray w/identification",E609+11,B609="Bite",E609+10,B609="Other",E609+30,B609="BAS",E609+56,B609="Seized",E609)</f>
        <v>45826</v>
      </c>
      <c r="G609" s="2">
        <v>45820</v>
      </c>
      <c r="H609" s="6">
        <f t="shared" si="20"/>
        <v>0</v>
      </c>
      <c r="I609" s="6">
        <f t="shared" si="21"/>
        <v>-6</v>
      </c>
      <c r="J609" s="2" t="s">
        <v>8</v>
      </c>
    </row>
    <row r="610" spans="1:12" x14ac:dyDescent="0.25">
      <c r="A610" s="1">
        <v>40884</v>
      </c>
      <c r="B610" s="2" t="s">
        <v>38</v>
      </c>
      <c r="C610" t="s">
        <v>108</v>
      </c>
      <c r="D610" t="s">
        <v>208</v>
      </c>
      <c r="E610" s="2">
        <v>45820</v>
      </c>
      <c r="F610" s="2" cm="1">
        <f t="array" ref="F610">_xlfn.IFS(B610="Owner Surrender",E610,B610="Stray",E610+6,B610="Stray w/identification",E610+11,B610="Bite",E610+10,B610="Other",E610+30,B610="BAS",E610+56,B610="Seized",E610)</f>
        <v>45826</v>
      </c>
      <c r="G610" s="2">
        <v>45820</v>
      </c>
      <c r="H610" s="6">
        <f t="shared" si="20"/>
        <v>0</v>
      </c>
      <c r="I610" s="6">
        <f t="shared" si="21"/>
        <v>-6</v>
      </c>
      <c r="J610" s="2" t="s">
        <v>8</v>
      </c>
    </row>
    <row r="611" spans="1:12" x14ac:dyDescent="0.25">
      <c r="A611" s="1">
        <v>40890</v>
      </c>
      <c r="B611" s="2" t="s">
        <v>36</v>
      </c>
      <c r="C611" t="s">
        <v>520</v>
      </c>
      <c r="D611" t="s">
        <v>208</v>
      </c>
      <c r="E611" s="2">
        <v>45820</v>
      </c>
      <c r="F611" s="2" cm="1">
        <f t="array" ref="F611">_xlfn.IFS(B611="Owner Surrender",E611,B611="Stray",E611+6,B611="Stray w/identification",E611+11,B611="Bite",E611+10,B611="Other",E611+30,B611="BAS",E611+56,B611="Seized",E611)</f>
        <v>45820</v>
      </c>
      <c r="G611" s="2">
        <v>45832</v>
      </c>
      <c r="H611" s="6">
        <f t="shared" si="20"/>
        <v>12</v>
      </c>
      <c r="I611" s="6">
        <f t="shared" si="21"/>
        <v>12</v>
      </c>
      <c r="J611" s="2" t="s">
        <v>11</v>
      </c>
      <c r="K611" t="s">
        <v>125</v>
      </c>
    </row>
    <row r="612" spans="1:12" x14ac:dyDescent="0.25">
      <c r="A612" s="1">
        <v>40891</v>
      </c>
      <c r="B612" s="2" t="s">
        <v>36</v>
      </c>
      <c r="C612" t="s">
        <v>49</v>
      </c>
      <c r="D612" t="s">
        <v>208</v>
      </c>
      <c r="E612" s="2">
        <v>45820</v>
      </c>
      <c r="F612" s="2" cm="1">
        <f t="array" ref="F612">_xlfn.IFS(B612="Owner Surrender",E612,B612="Stray",E612+6,B612="Stray w/identification",E612+11,B612="Bite",E612+10,B612="Other",E612+30,B612="BAS",E612+56,B612="Seized",E612)</f>
        <v>45820</v>
      </c>
      <c r="G612" s="2">
        <v>45826</v>
      </c>
      <c r="H612" s="6">
        <f t="shared" si="20"/>
        <v>6</v>
      </c>
      <c r="I612" s="6">
        <f t="shared" si="21"/>
        <v>6</v>
      </c>
      <c r="J612" s="2" t="s">
        <v>31</v>
      </c>
      <c r="K612" t="s">
        <v>568</v>
      </c>
    </row>
    <row r="613" spans="1:12" x14ac:dyDescent="0.25">
      <c r="A613" s="1">
        <v>40900</v>
      </c>
      <c r="B613" s="2" t="s">
        <v>36</v>
      </c>
      <c r="C613" t="s">
        <v>57</v>
      </c>
      <c r="D613" t="s">
        <v>211</v>
      </c>
      <c r="E613" s="2">
        <v>45821</v>
      </c>
      <c r="F613" s="2" cm="1">
        <f t="array" ref="F613">_xlfn.IFS(B613="Owner Surrender",E613,B613="Stray",E613+6,B613="Stray w/identification",E613+11,B613="Bite",E613+10,B613="Other",E613+30,B613="BAS",E613+56,B613="Seized",E613)</f>
        <v>45821</v>
      </c>
      <c r="G613" s="2">
        <v>45821</v>
      </c>
      <c r="H613" s="6">
        <f t="shared" si="20"/>
        <v>0</v>
      </c>
      <c r="I613" s="6">
        <f t="shared" si="21"/>
        <v>0</v>
      </c>
      <c r="J613" s="2" t="s">
        <v>31</v>
      </c>
    </row>
    <row r="614" spans="1:12" x14ac:dyDescent="0.25">
      <c r="A614" s="1">
        <v>40902</v>
      </c>
      <c r="B614" s="2" t="s">
        <v>36</v>
      </c>
      <c r="C614" t="s">
        <v>73</v>
      </c>
      <c r="D614" t="s">
        <v>208</v>
      </c>
      <c r="E614" s="2">
        <v>45822</v>
      </c>
      <c r="F614" s="2" cm="1">
        <f t="array" ref="F614">_xlfn.IFS(B614="Owner Surrender",E614,B614="Stray",E614+6,B614="Stray w/identification",E614+11,B614="Bite",E614+10,B614="Other",E614+30,B614="BAS",E614+56,B614="Seized",E614)</f>
        <v>45822</v>
      </c>
      <c r="G614" s="2">
        <v>45826</v>
      </c>
      <c r="H614" s="6">
        <f t="shared" si="20"/>
        <v>4</v>
      </c>
      <c r="I614" s="6">
        <f t="shared" si="21"/>
        <v>4</v>
      </c>
      <c r="J614" s="2" t="s">
        <v>31</v>
      </c>
    </row>
    <row r="615" spans="1:12" s="25" customFormat="1" x14ac:dyDescent="0.25">
      <c r="A615" s="29">
        <v>40903</v>
      </c>
      <c r="B615" s="16" t="s">
        <v>36</v>
      </c>
      <c r="C615" s="10" t="s">
        <v>50</v>
      </c>
      <c r="D615" s="10" t="s">
        <v>210</v>
      </c>
      <c r="E615" s="16">
        <v>45822</v>
      </c>
      <c r="F615" s="16" cm="1">
        <f t="array" ref="F615">_xlfn.IFS(B615="Owner Surrender",E615,B615="Stray",E615+6,B615="Stray w/identification",E615+11,B615="Bite",E615+10,B615="Other",E615+30,B615="BAS",E615+56,B615="Seized",E615)</f>
        <v>45822</v>
      </c>
      <c r="G615" s="16">
        <v>45826</v>
      </c>
      <c r="H615" s="30">
        <f t="shared" si="20"/>
        <v>4</v>
      </c>
      <c r="I615" s="30">
        <f t="shared" si="21"/>
        <v>4</v>
      </c>
      <c r="J615" s="16" t="s">
        <v>31</v>
      </c>
      <c r="K615" s="10"/>
      <c r="L615" s="10"/>
    </row>
    <row r="616" spans="1:12" s="25" customFormat="1" x14ac:dyDescent="0.25">
      <c r="A616" s="29">
        <v>40903</v>
      </c>
      <c r="B616" s="16" t="s">
        <v>36</v>
      </c>
      <c r="C616" s="10" t="s">
        <v>73</v>
      </c>
      <c r="D616" s="10" t="s">
        <v>210</v>
      </c>
      <c r="E616" s="16">
        <v>45822</v>
      </c>
      <c r="F616" s="16" cm="1">
        <f t="array" ref="F616">_xlfn.IFS(B616="Owner Surrender",E616,B616="Stray",E616+6,B616="Stray w/identification",E616+11,B616="Bite",E616+10,B616="Other",E616+30,B616="BAS",E616+56,B616="Seized",E616)</f>
        <v>45822</v>
      </c>
      <c r="G616" s="16">
        <v>45826</v>
      </c>
      <c r="H616" s="30">
        <f t="shared" si="20"/>
        <v>4</v>
      </c>
      <c r="I616" s="30">
        <f t="shared" si="21"/>
        <v>4</v>
      </c>
      <c r="J616" s="16" t="s">
        <v>31</v>
      </c>
      <c r="K616" s="10"/>
      <c r="L616" s="10"/>
    </row>
    <row r="617" spans="1:12" s="25" customFormat="1" x14ac:dyDescent="0.25">
      <c r="A617" s="29">
        <v>40904</v>
      </c>
      <c r="B617" s="16" t="s">
        <v>36</v>
      </c>
      <c r="C617" s="10" t="s">
        <v>73</v>
      </c>
      <c r="D617" s="10" t="s">
        <v>210</v>
      </c>
      <c r="E617" s="16">
        <v>45822</v>
      </c>
      <c r="F617" s="16" cm="1">
        <f t="array" ref="F617">_xlfn.IFS(B617="Owner Surrender",E617,B617="Stray",E617+6,B617="Stray w/identification",E617+11,B617="Bite",E617+10,B617="Other",E617+30,B617="BAS",E617+56,B617="Seized",E617)</f>
        <v>45822</v>
      </c>
      <c r="G617" s="16">
        <v>45826</v>
      </c>
      <c r="H617" s="30">
        <f t="shared" si="20"/>
        <v>4</v>
      </c>
      <c r="I617" s="30">
        <f t="shared" si="21"/>
        <v>4</v>
      </c>
      <c r="J617" s="16" t="s">
        <v>31</v>
      </c>
      <c r="K617" s="10"/>
      <c r="L617" s="10"/>
    </row>
    <row r="618" spans="1:12" s="25" customFormat="1" x14ac:dyDescent="0.25">
      <c r="A618" s="24">
        <v>40904</v>
      </c>
      <c r="B618" s="20" t="s">
        <v>38</v>
      </c>
      <c r="C618" s="25" t="s">
        <v>50</v>
      </c>
      <c r="D618" s="25" t="s">
        <v>208</v>
      </c>
      <c r="E618" s="20">
        <v>45822</v>
      </c>
      <c r="F618" s="20" cm="1">
        <f t="array" ref="F618">_xlfn.IFS(B618="Owner Surrender",E618,B618="Stray",E618+6,B618="Stray w/identification",E618+11,B618="Bite",E618+10,B618="Other",E618+30,B618="BAS",E618+56,B618="Seized",E618)</f>
        <v>45828</v>
      </c>
      <c r="G618" s="20">
        <v>45826</v>
      </c>
      <c r="H618" s="26">
        <f t="shared" si="20"/>
        <v>4</v>
      </c>
      <c r="I618" s="26">
        <f t="shared" si="21"/>
        <v>-2</v>
      </c>
      <c r="J618" s="20" t="s">
        <v>31</v>
      </c>
    </row>
    <row r="619" spans="1:12" x14ac:dyDescent="0.25">
      <c r="A619" s="1">
        <v>40905</v>
      </c>
      <c r="B619" s="2" t="s">
        <v>180</v>
      </c>
      <c r="C619" t="s">
        <v>49</v>
      </c>
      <c r="D619" t="s">
        <v>208</v>
      </c>
      <c r="E619" s="2">
        <v>45824</v>
      </c>
      <c r="F619" s="2" cm="1">
        <f t="array" ref="F619">_xlfn.IFS(B619="Owner Surrender",E619,B619="Stray",E619+6,B619="Stray w/identification",E619+11,B619="Bite",E619+10,B619="Other",E619+30,B619="BAS",E619+56,B619="Seized",E619)</f>
        <v>45835</v>
      </c>
      <c r="G619" s="2">
        <v>45824</v>
      </c>
      <c r="H619" s="6">
        <f t="shared" si="20"/>
        <v>0</v>
      </c>
      <c r="I619" s="6">
        <f t="shared" si="21"/>
        <v>-11</v>
      </c>
      <c r="J619" s="2" t="s">
        <v>8</v>
      </c>
    </row>
    <row r="620" spans="1:12" s="25" customFormat="1" x14ac:dyDescent="0.25">
      <c r="A620" s="24">
        <v>40907</v>
      </c>
      <c r="B620" s="20" t="s">
        <v>180</v>
      </c>
      <c r="C620" s="25" t="s">
        <v>49</v>
      </c>
      <c r="D620" s="25" t="s">
        <v>208</v>
      </c>
      <c r="E620" s="20">
        <v>45822</v>
      </c>
      <c r="F620" s="20" cm="1">
        <f t="array" ref="F620">_xlfn.IFS(B620="Owner Surrender",E620,B620="Stray",E620+6,B620="Stray w/identification",E620+11,B620="Bite",E620+10,B620="Other",E620+30,B620="BAS",E620+56,B620="Seized",E620)</f>
        <v>45833</v>
      </c>
      <c r="G620" s="20">
        <v>45824</v>
      </c>
      <c r="H620" s="26">
        <f t="shared" si="20"/>
        <v>2</v>
      </c>
      <c r="I620" s="26">
        <f t="shared" si="21"/>
        <v>-9</v>
      </c>
      <c r="J620" s="20" t="s">
        <v>8</v>
      </c>
    </row>
    <row r="621" spans="1:12" s="25" customFormat="1" x14ac:dyDescent="0.25">
      <c r="A621" s="24">
        <v>40907</v>
      </c>
      <c r="B621" s="20" t="s">
        <v>180</v>
      </c>
      <c r="C621" s="25" t="s">
        <v>49</v>
      </c>
      <c r="D621" s="25" t="s">
        <v>208</v>
      </c>
      <c r="E621" s="20">
        <v>45822</v>
      </c>
      <c r="F621" s="20" cm="1">
        <f t="array" ref="F621">_xlfn.IFS(B621="Owner Surrender",E621,B621="Stray",E621+6,B621="Stray w/identification",E621+11,B621="Bite",E621+10,B621="Other",E621+30,B621="BAS",E621+56,B621="Seized",E621)</f>
        <v>45833</v>
      </c>
      <c r="G621" s="20">
        <v>45827</v>
      </c>
      <c r="H621" s="26">
        <f t="shared" si="20"/>
        <v>5</v>
      </c>
      <c r="I621" s="26">
        <f t="shared" si="21"/>
        <v>-6</v>
      </c>
      <c r="J621" s="20" t="s">
        <v>8</v>
      </c>
    </row>
    <row r="622" spans="1:12" x14ac:dyDescent="0.25">
      <c r="A622" s="1">
        <v>40908</v>
      </c>
      <c r="B622" s="2" t="s">
        <v>36</v>
      </c>
      <c r="C622" t="s">
        <v>50</v>
      </c>
      <c r="D622" t="s">
        <v>208</v>
      </c>
      <c r="E622" s="2">
        <v>45824</v>
      </c>
      <c r="F622" s="2" cm="1">
        <f t="array" ref="F622">_xlfn.IFS(B622="Owner Surrender",E622,B622="Stray",E622+6,B622="Stray w/identification",E622+11,B622="Bite",E622+10,B622="Other",E622+30,B622="BAS",E622+56,B622="Seized",E622)</f>
        <v>45824</v>
      </c>
      <c r="G622" s="2">
        <v>45827</v>
      </c>
      <c r="H622" s="6">
        <f t="shared" si="20"/>
        <v>3</v>
      </c>
      <c r="I622" s="6">
        <f t="shared" si="21"/>
        <v>3</v>
      </c>
      <c r="J622" s="2" t="s">
        <v>8</v>
      </c>
    </row>
    <row r="623" spans="1:12" s="25" customFormat="1" x14ac:dyDescent="0.25">
      <c r="A623" s="24">
        <v>40909</v>
      </c>
      <c r="B623" s="20" t="s">
        <v>38</v>
      </c>
      <c r="C623" s="25" t="s">
        <v>140</v>
      </c>
      <c r="D623" s="25" t="s">
        <v>208</v>
      </c>
      <c r="E623" s="20">
        <v>45822</v>
      </c>
      <c r="F623" s="20" cm="1">
        <f t="array" ref="F623">_xlfn.IFS(B623="Owner Surrender",E623,B623="Stray",E623+6,B623="Stray w/identification",E623+11,B623="Bite",E623+10,B623="Other",E623+30,B623="BAS",E623+56,B623="Seized",E623)</f>
        <v>45828</v>
      </c>
      <c r="G623" s="20">
        <v>45834</v>
      </c>
      <c r="H623" s="26">
        <f t="shared" si="20"/>
        <v>12</v>
      </c>
      <c r="I623" s="26">
        <f t="shared" si="21"/>
        <v>6</v>
      </c>
      <c r="J623" s="20" t="s">
        <v>31</v>
      </c>
      <c r="K623" s="25" t="s">
        <v>567</v>
      </c>
    </row>
    <row r="624" spans="1:12" s="25" customFormat="1" x14ac:dyDescent="0.25">
      <c r="A624" s="24">
        <v>40909</v>
      </c>
      <c r="B624" s="20" t="s">
        <v>38</v>
      </c>
      <c r="C624" s="25" t="s">
        <v>424</v>
      </c>
      <c r="D624" s="25" t="s">
        <v>210</v>
      </c>
      <c r="E624" s="20">
        <v>45822</v>
      </c>
      <c r="F624" s="20" cm="1">
        <f t="array" ref="F624">_xlfn.IFS(B624="Owner Surrender",E624,B624="Stray",E624+6,B624="Stray w/identification",E624+11,B624="Bite",E624+10,B624="Other",E624+30,B624="BAS",E624+56,B624="Seized",E624)</f>
        <v>45828</v>
      </c>
      <c r="G624" s="20">
        <v>45834</v>
      </c>
      <c r="H624" s="26">
        <f t="shared" si="20"/>
        <v>12</v>
      </c>
      <c r="I624" s="26">
        <f t="shared" si="21"/>
        <v>6</v>
      </c>
      <c r="J624" s="20" t="s">
        <v>31</v>
      </c>
      <c r="K624" s="25" t="s">
        <v>567</v>
      </c>
    </row>
    <row r="625" spans="1:12" x14ac:dyDescent="0.25">
      <c r="A625" s="1">
        <v>40910</v>
      </c>
      <c r="B625" s="2" t="s">
        <v>180</v>
      </c>
      <c r="C625" t="s">
        <v>50</v>
      </c>
      <c r="D625" t="s">
        <v>208</v>
      </c>
      <c r="E625" s="2">
        <v>45822</v>
      </c>
      <c r="F625" s="2" cm="1">
        <f t="array" ref="F625">_xlfn.IFS(B625="Owner Surrender",E625,B625="Stray",E625+6,B625="Stray w/identification",E625+11,B625="Bite",E625+10,B625="Other",E625+30,B625="BAS",E625+56,B625="Seized",E625)</f>
        <v>45833</v>
      </c>
      <c r="G625" s="2">
        <v>45824</v>
      </c>
      <c r="H625" s="6">
        <f t="shared" si="20"/>
        <v>2</v>
      </c>
      <c r="I625" s="6">
        <f t="shared" si="21"/>
        <v>-9</v>
      </c>
      <c r="J625" s="2" t="s">
        <v>8</v>
      </c>
    </row>
    <row r="626" spans="1:12" x14ac:dyDescent="0.25">
      <c r="A626" s="1">
        <v>40911</v>
      </c>
      <c r="B626" s="2" t="s">
        <v>38</v>
      </c>
      <c r="C626" t="s">
        <v>149</v>
      </c>
      <c r="D626" t="s">
        <v>209</v>
      </c>
      <c r="E626" s="2">
        <v>45824</v>
      </c>
      <c r="F626" s="2" cm="1">
        <f t="array" ref="F626">_xlfn.IFS(B626="Owner Surrender",E626,B626="Stray",E626+6,B626="Stray w/identification",E626+11,B626="Bite",E626+10,B626="Other",E626+30,B626="BAS",E626+56,B626="Seized",E626)</f>
        <v>45830</v>
      </c>
      <c r="G626" s="2">
        <v>45832</v>
      </c>
      <c r="H626" s="6">
        <f t="shared" si="20"/>
        <v>8</v>
      </c>
      <c r="I626" s="6">
        <f t="shared" si="21"/>
        <v>2</v>
      </c>
      <c r="J626" s="2" t="s">
        <v>11</v>
      </c>
    </row>
    <row r="627" spans="1:12" x14ac:dyDescent="0.25">
      <c r="A627" s="3">
        <v>40917</v>
      </c>
      <c r="B627" s="2" t="s">
        <v>36</v>
      </c>
      <c r="C627" t="s">
        <v>71</v>
      </c>
      <c r="D627" t="s">
        <v>208</v>
      </c>
      <c r="E627" s="2">
        <v>45824</v>
      </c>
      <c r="F627" s="2" cm="1">
        <f t="array" ref="F627">_xlfn.IFS(B627="Owner Surrender",E627,B627="Stray",E627+6,B627="Stray w/identification",E627+11,B627="Bite",E627+10,B627="Other",E627+30,B627="BAS",E627+56,B627="Seized",E627)</f>
        <v>45824</v>
      </c>
      <c r="G627" s="2">
        <v>45849</v>
      </c>
      <c r="H627" s="6">
        <f t="shared" si="20"/>
        <v>25</v>
      </c>
      <c r="I627" s="6">
        <f t="shared" ref="I627:I658" si="22">G627-F627</f>
        <v>25</v>
      </c>
      <c r="J627" s="2" t="s">
        <v>18</v>
      </c>
      <c r="K627" s="2" t="s">
        <v>86</v>
      </c>
      <c r="L627" s="2" t="s">
        <v>85</v>
      </c>
    </row>
    <row r="628" spans="1:12" x14ac:dyDescent="0.25">
      <c r="A628" s="1">
        <v>40918</v>
      </c>
      <c r="B628" s="2" t="s">
        <v>36</v>
      </c>
      <c r="C628" t="s">
        <v>149</v>
      </c>
      <c r="D628" t="s">
        <v>208</v>
      </c>
      <c r="E628" s="2">
        <v>45824</v>
      </c>
      <c r="F628" s="2" cm="1">
        <f t="array" ref="F628">_xlfn.IFS(B628="Owner Surrender",E628,B628="Stray",E628+6,B628="Stray w/identification",E628+11,B628="Bite",E628+10,B628="Other",E628+30,B628="BAS",E628+56,B628="Seized",E628)</f>
        <v>45824</v>
      </c>
      <c r="G628" s="2">
        <v>45828</v>
      </c>
      <c r="H628" s="6">
        <f t="shared" si="20"/>
        <v>4</v>
      </c>
      <c r="I628" s="6">
        <f t="shared" si="22"/>
        <v>4</v>
      </c>
      <c r="J628" s="2" t="s">
        <v>31</v>
      </c>
      <c r="K628" t="s">
        <v>566</v>
      </c>
    </row>
    <row r="629" spans="1:12" x14ac:dyDescent="0.25">
      <c r="A629" s="1">
        <v>40919</v>
      </c>
      <c r="B629" s="2" t="s">
        <v>36</v>
      </c>
      <c r="C629" t="s">
        <v>54</v>
      </c>
      <c r="D629" t="s">
        <v>210</v>
      </c>
      <c r="E629" s="2">
        <v>45824</v>
      </c>
      <c r="F629" s="2" cm="1">
        <f t="array" ref="F629">_xlfn.IFS(B629="Owner Surrender",E629,B629="Stray",E629+6,B629="Stray w/identification",E629+11,B629="Bite",E629+10,B629="Other",E629+30,B629="BAS",E629+56,B629="Seized",E629)</f>
        <v>45824</v>
      </c>
      <c r="G629" s="2">
        <v>45831</v>
      </c>
      <c r="H629" s="6">
        <f t="shared" si="20"/>
        <v>7</v>
      </c>
      <c r="I629" s="6">
        <f t="shared" si="22"/>
        <v>7</v>
      </c>
      <c r="J629" s="2" t="s">
        <v>11</v>
      </c>
      <c r="K629" t="s">
        <v>565</v>
      </c>
    </row>
    <row r="630" spans="1:12" x14ac:dyDescent="0.25">
      <c r="A630" s="1">
        <v>40920</v>
      </c>
      <c r="B630" s="2" t="s">
        <v>61</v>
      </c>
      <c r="C630" t="s">
        <v>54</v>
      </c>
      <c r="D630" t="s">
        <v>208</v>
      </c>
      <c r="E630" s="2">
        <v>45825</v>
      </c>
      <c r="F630" s="2" cm="1">
        <f t="array" ref="F630">_xlfn.IFS(B630="Owner Surrender",E630,B630="Stray",E630+6,B630="Stray w/identification",E630+11,B630="Bite",E630+10,B630="Other",E630+30,B630="BAS",E630+56,B630="Seized",E630)</f>
        <v>45855</v>
      </c>
      <c r="G630" s="2">
        <v>45828</v>
      </c>
      <c r="H630" s="6">
        <f t="shared" si="20"/>
        <v>3</v>
      </c>
      <c r="I630" s="6">
        <f t="shared" si="22"/>
        <v>-27</v>
      </c>
      <c r="J630" s="2" t="s">
        <v>8</v>
      </c>
    </row>
    <row r="631" spans="1:12" x14ac:dyDescent="0.25">
      <c r="A631" s="1">
        <v>40921</v>
      </c>
      <c r="B631" s="2" t="s">
        <v>36</v>
      </c>
      <c r="C631" t="s">
        <v>50</v>
      </c>
      <c r="D631" t="s">
        <v>208</v>
      </c>
      <c r="E631" s="2">
        <v>45825</v>
      </c>
      <c r="F631" s="2" cm="1">
        <f t="array" ref="F631">_xlfn.IFS(B631="Owner Surrender",E631,B631="Stray",E631+6,B631="Stray w/identification",E631+11,B631="Bite",E631+10,B631="Other",E631+30,B631="BAS",E631+56,B631="Seized",E631)</f>
        <v>45825</v>
      </c>
      <c r="G631" s="2">
        <v>45828</v>
      </c>
      <c r="H631" s="6">
        <f t="shared" si="20"/>
        <v>3</v>
      </c>
      <c r="I631" s="6">
        <f t="shared" si="22"/>
        <v>3</v>
      </c>
      <c r="J631" s="2" t="s">
        <v>31</v>
      </c>
    </row>
    <row r="632" spans="1:12" x14ac:dyDescent="0.25">
      <c r="A632" s="1">
        <v>40923</v>
      </c>
      <c r="B632" s="2" t="s">
        <v>36</v>
      </c>
      <c r="C632" t="s">
        <v>564</v>
      </c>
      <c r="D632" t="s">
        <v>209</v>
      </c>
      <c r="E632" s="2">
        <v>45825</v>
      </c>
      <c r="F632" s="2" cm="1">
        <f t="array" ref="F632">_xlfn.IFS(B632="Owner Surrender",E632,B632="Stray",E632+6,B632="Stray w/identification",E632+11,B632="Bite",E632+10,B632="Other",E632+30,B632="BAS",E632+56,B632="Seized",E632)</f>
        <v>45825</v>
      </c>
      <c r="G632" s="2">
        <v>45825</v>
      </c>
      <c r="H632" s="6">
        <f t="shared" si="20"/>
        <v>0</v>
      </c>
      <c r="I632" s="6">
        <f t="shared" si="22"/>
        <v>0</v>
      </c>
      <c r="J632" s="2" t="s">
        <v>31</v>
      </c>
      <c r="L632" t="s">
        <v>67</v>
      </c>
    </row>
    <row r="633" spans="1:12" x14ac:dyDescent="0.25">
      <c r="A633" s="1">
        <v>40924</v>
      </c>
      <c r="B633" s="2" t="s">
        <v>36</v>
      </c>
      <c r="C633" t="s">
        <v>236</v>
      </c>
      <c r="D633" t="s">
        <v>208</v>
      </c>
      <c r="E633" s="2">
        <v>45825</v>
      </c>
      <c r="F633" s="2" cm="1">
        <f t="array" ref="F633">_xlfn.IFS(B633="Owner Surrender",E633,B633="Stray",E633+6,B633="Stray w/identification",E633+11,B633="Bite",E633+10,B633="Other",E633+30,B633="BAS",E633+56,B633="Seized",E633)</f>
        <v>45825</v>
      </c>
      <c r="G633" s="2">
        <v>45828</v>
      </c>
      <c r="H633" s="6">
        <f t="shared" si="20"/>
        <v>3</v>
      </c>
      <c r="I633" s="6">
        <f t="shared" si="22"/>
        <v>3</v>
      </c>
      <c r="J633" s="2" t="s">
        <v>31</v>
      </c>
      <c r="K633" t="s">
        <v>563</v>
      </c>
    </row>
    <row r="634" spans="1:12" x14ac:dyDescent="0.25">
      <c r="A634" s="1">
        <v>40925</v>
      </c>
      <c r="B634" s="2" t="s">
        <v>36</v>
      </c>
      <c r="C634" t="s">
        <v>236</v>
      </c>
      <c r="D634" t="s">
        <v>208</v>
      </c>
      <c r="E634" s="2">
        <v>45825</v>
      </c>
      <c r="F634" s="2" cm="1">
        <f t="array" ref="F634">_xlfn.IFS(B634="Owner Surrender",E634,B634="Stray",E634+6,B634="Stray w/identification",E634+11,B634="Bite",E634+10,B634="Other",E634+30,B634="BAS",E634+56,B634="Seized",E634)</f>
        <v>45825</v>
      </c>
      <c r="G634" s="2">
        <v>45828</v>
      </c>
      <c r="H634" s="6">
        <f t="shared" si="20"/>
        <v>3</v>
      </c>
      <c r="I634" s="6">
        <f t="shared" si="22"/>
        <v>3</v>
      </c>
      <c r="J634" s="2" t="s">
        <v>31</v>
      </c>
      <c r="K634" t="s">
        <v>262</v>
      </c>
    </row>
    <row r="635" spans="1:12" x14ac:dyDescent="0.25">
      <c r="A635" s="1">
        <v>40926</v>
      </c>
      <c r="B635" s="2" t="s">
        <v>36</v>
      </c>
      <c r="C635" t="s">
        <v>149</v>
      </c>
      <c r="D635" t="s">
        <v>211</v>
      </c>
      <c r="E635" s="2">
        <v>45825</v>
      </c>
      <c r="F635" s="2" cm="1">
        <f t="array" ref="F635">_xlfn.IFS(B635="Owner Surrender",E635,B635="Stray",E635+6,B635="Stray w/identification",E635+11,B635="Bite",E635+10,B635="Other",E635+30,B635="BAS",E635+56,B635="Seized",E635)</f>
        <v>45825</v>
      </c>
      <c r="G635" s="2">
        <v>45825</v>
      </c>
      <c r="H635" s="6">
        <f t="shared" si="20"/>
        <v>0</v>
      </c>
      <c r="I635" s="6">
        <f t="shared" si="22"/>
        <v>0</v>
      </c>
      <c r="J635" s="2" t="s">
        <v>31</v>
      </c>
    </row>
    <row r="636" spans="1:12" x14ac:dyDescent="0.25">
      <c r="A636" s="3">
        <v>40936</v>
      </c>
      <c r="B636" s="2" t="s">
        <v>36</v>
      </c>
      <c r="C636" t="s">
        <v>57</v>
      </c>
      <c r="D636" t="s">
        <v>209</v>
      </c>
      <c r="E636" s="2">
        <v>45826</v>
      </c>
      <c r="F636" s="2" cm="1">
        <f t="array" ref="F636">_xlfn.IFS(B636="Owner Surrender",E636,B636="Stray",E636+6,B636="Stray w/identification",E636+11,B636="Bite",E636+10,B636="Other",E636+30,B636="BAS",E636+56,B636="Seized",E636)</f>
        <v>45826</v>
      </c>
      <c r="G636" s="2">
        <v>45846</v>
      </c>
      <c r="H636" s="6">
        <f t="shared" si="20"/>
        <v>20</v>
      </c>
      <c r="I636" s="6">
        <f t="shared" si="22"/>
        <v>20</v>
      </c>
      <c r="J636" s="2" t="s">
        <v>11</v>
      </c>
      <c r="K636" s="2" t="s">
        <v>58</v>
      </c>
    </row>
    <row r="637" spans="1:12" x14ac:dyDescent="0.25">
      <c r="A637" s="1">
        <v>40937</v>
      </c>
      <c r="B637" s="2" t="s">
        <v>36</v>
      </c>
      <c r="C637" t="s">
        <v>236</v>
      </c>
      <c r="D637" t="s">
        <v>208</v>
      </c>
      <c r="E637" s="2">
        <v>45826</v>
      </c>
      <c r="F637" s="2" cm="1">
        <f t="array" ref="F637">_xlfn.IFS(B637="Owner Surrender",E637,B637="Stray",E637+6,B637="Stray w/identification",E637+11,B637="Bite",E637+10,B637="Other",E637+30,B637="BAS",E637+56,B637="Seized",E637)</f>
        <v>45826</v>
      </c>
      <c r="G637" s="2">
        <v>45828</v>
      </c>
      <c r="H637" s="6">
        <f t="shared" si="20"/>
        <v>2</v>
      </c>
      <c r="I637" s="6">
        <f t="shared" si="22"/>
        <v>2</v>
      </c>
      <c r="J637" s="2" t="s">
        <v>31</v>
      </c>
    </row>
    <row r="638" spans="1:12" x14ac:dyDescent="0.25">
      <c r="A638" s="3">
        <v>40939</v>
      </c>
      <c r="B638" s="2" t="s">
        <v>53</v>
      </c>
      <c r="C638" t="s">
        <v>52</v>
      </c>
      <c r="D638" t="s">
        <v>209</v>
      </c>
      <c r="E638" s="2">
        <v>45826</v>
      </c>
      <c r="F638" s="2" cm="1">
        <f t="array" ref="F638">_xlfn.IFS(B638="Owner Surrender",E638,B638="Stray",E638+6,B638="Stray w/identification",E638+11,B638="Bite",E638+10,B638="Other",E638+30,B638="BAS",E638+56,B638="Seized",E638)</f>
        <v>45826</v>
      </c>
      <c r="G638" s="2">
        <v>45846</v>
      </c>
      <c r="H638" s="6">
        <f t="shared" si="20"/>
        <v>20</v>
      </c>
      <c r="I638" s="6">
        <f t="shared" si="22"/>
        <v>20</v>
      </c>
      <c r="J638" s="2" t="s">
        <v>11</v>
      </c>
    </row>
    <row r="639" spans="1:12" x14ac:dyDescent="0.25">
      <c r="A639" s="3">
        <v>40940</v>
      </c>
      <c r="B639" s="2" t="s">
        <v>53</v>
      </c>
      <c r="C639" t="s">
        <v>52</v>
      </c>
      <c r="D639" t="s">
        <v>209</v>
      </c>
      <c r="E639" s="2">
        <v>45826</v>
      </c>
      <c r="F639" s="2" cm="1">
        <f t="array" ref="F639">_xlfn.IFS(B639="Owner Surrender",E639,B639="Stray",E639+6,B639="Stray w/identification",E639+11,B639="Bite",E639+10,B639="Other",E639+30,B639="BAS",E639+56,B639="Seized",E639)</f>
        <v>45826</v>
      </c>
      <c r="G639" s="2">
        <v>45847</v>
      </c>
      <c r="H639" s="6">
        <f t="shared" si="20"/>
        <v>21</v>
      </c>
      <c r="I639" s="6">
        <f t="shared" si="22"/>
        <v>21</v>
      </c>
      <c r="J639" s="2" t="s">
        <v>11</v>
      </c>
    </row>
    <row r="640" spans="1:12" x14ac:dyDescent="0.25">
      <c r="A640" s="3">
        <v>40941</v>
      </c>
      <c r="B640" s="2" t="s">
        <v>53</v>
      </c>
      <c r="C640" t="s">
        <v>52</v>
      </c>
      <c r="D640" t="s">
        <v>209</v>
      </c>
      <c r="E640" s="2">
        <v>45826</v>
      </c>
      <c r="F640" s="2" cm="1">
        <f t="array" ref="F640">_xlfn.IFS(B640="Owner Surrender",E640,B640="Stray",E640+6,B640="Stray w/identification",E640+11,B640="Bite",E640+10,B640="Other",E640+30,B640="BAS",E640+56,B640="Seized",E640)</f>
        <v>45826</v>
      </c>
      <c r="G640" s="2">
        <v>45856</v>
      </c>
      <c r="H640" s="6">
        <f t="shared" si="20"/>
        <v>30</v>
      </c>
      <c r="I640" s="6">
        <f t="shared" si="22"/>
        <v>30</v>
      </c>
      <c r="J640" s="2" t="s">
        <v>11</v>
      </c>
    </row>
    <row r="641" spans="1:12" x14ac:dyDescent="0.25">
      <c r="A641" s="1">
        <v>40944</v>
      </c>
      <c r="B641" s="2" t="s">
        <v>38</v>
      </c>
      <c r="C641" t="s">
        <v>49</v>
      </c>
      <c r="D641" t="s">
        <v>208</v>
      </c>
      <c r="E641" s="2">
        <v>45827</v>
      </c>
      <c r="F641" s="2" cm="1">
        <f t="array" ref="F641">_xlfn.IFS(B641="Owner Surrender",E641,B641="Stray",E641+6,B641="Stray w/identification",E641+11,B641="Bite",E641+10,B641="Other",E641+30,B641="BAS",E641+56,B641="Seized",E641)</f>
        <v>45833</v>
      </c>
      <c r="G641" s="2">
        <v>45833</v>
      </c>
      <c r="H641" s="6">
        <f t="shared" si="20"/>
        <v>6</v>
      </c>
      <c r="I641" s="6">
        <f t="shared" si="22"/>
        <v>0</v>
      </c>
      <c r="J641" s="2" t="s">
        <v>31</v>
      </c>
      <c r="L641" t="s">
        <v>67</v>
      </c>
    </row>
    <row r="642" spans="1:12" x14ac:dyDescent="0.25">
      <c r="A642" s="1">
        <v>40951</v>
      </c>
      <c r="B642" s="2" t="s">
        <v>38</v>
      </c>
      <c r="C642" t="s">
        <v>50</v>
      </c>
      <c r="D642" t="s">
        <v>209</v>
      </c>
      <c r="E642" s="2">
        <v>45827</v>
      </c>
      <c r="F642" s="2" cm="1">
        <f t="array" ref="F642">_xlfn.IFS(B642="Owner Surrender",E642,B642="Stray",E642+6,B642="Stray w/identification",E642+11,B642="Bite",E642+10,B642="Other",E642+30,B642="BAS",E642+56,B642="Seized",E642)</f>
        <v>45833</v>
      </c>
      <c r="G642" s="2">
        <v>45834</v>
      </c>
      <c r="H642" s="6">
        <f t="shared" si="20"/>
        <v>7</v>
      </c>
      <c r="I642" s="6">
        <f t="shared" si="22"/>
        <v>1</v>
      </c>
      <c r="J642" s="2" t="s">
        <v>31</v>
      </c>
    </row>
    <row r="643" spans="1:12" x14ac:dyDescent="0.25">
      <c r="A643" s="23">
        <v>40952</v>
      </c>
      <c r="B643" s="2" t="s">
        <v>38</v>
      </c>
      <c r="C643" t="s">
        <v>50</v>
      </c>
      <c r="D643" t="s">
        <v>209</v>
      </c>
      <c r="E643" s="2">
        <v>45827</v>
      </c>
      <c r="F643" s="2" cm="1">
        <f t="array" ref="F643">_xlfn.IFS(B643="Owner Surrender",E643,B643="Stray",E643+6,B643="Stray w/identification",E643+11,B643="Bite",E643+10,B643="Other",E643+30,B643="BAS",E643+56,B643="Seized",E643)</f>
        <v>45833</v>
      </c>
      <c r="G643" s="2">
        <v>45834</v>
      </c>
      <c r="H643" s="6">
        <f t="shared" ref="H643:H691" si="23">+G643-E643</f>
        <v>7</v>
      </c>
      <c r="I643" s="6">
        <f t="shared" si="22"/>
        <v>1</v>
      </c>
      <c r="J643" s="2" t="s">
        <v>31</v>
      </c>
    </row>
    <row r="644" spans="1:12" x14ac:dyDescent="0.25">
      <c r="A644" s="1">
        <v>40953</v>
      </c>
      <c r="B644" s="2" t="s">
        <v>38</v>
      </c>
      <c r="C644" t="s">
        <v>50</v>
      </c>
      <c r="D644" t="s">
        <v>209</v>
      </c>
      <c r="E644" s="2">
        <v>45827</v>
      </c>
      <c r="F644" s="2" cm="1">
        <f t="array" ref="F644">_xlfn.IFS(B644="Owner Surrender",E644,B644="Stray",E644+6,B644="Stray w/identification",E644+11,B644="Bite",E644+10,B644="Other",E644+30,B644="BAS",E644+56,B644="Seized",E644)</f>
        <v>45833</v>
      </c>
      <c r="G644" s="2">
        <v>45834</v>
      </c>
      <c r="H644" s="6">
        <f t="shared" si="23"/>
        <v>7</v>
      </c>
      <c r="I644" s="6">
        <f t="shared" si="22"/>
        <v>1</v>
      </c>
      <c r="J644" s="2" t="s">
        <v>31</v>
      </c>
    </row>
    <row r="645" spans="1:12" x14ac:dyDescent="0.25">
      <c r="A645" s="1">
        <v>40954</v>
      </c>
      <c r="B645" s="2" t="s">
        <v>38</v>
      </c>
      <c r="C645" t="s">
        <v>50</v>
      </c>
      <c r="D645" t="s">
        <v>209</v>
      </c>
      <c r="E645" s="2">
        <v>45827</v>
      </c>
      <c r="F645" s="2" cm="1">
        <f t="array" ref="F645">_xlfn.IFS(B645="Owner Surrender",E645,B645="Stray",E645+6,B645="Stray w/identification",E645+11,B645="Bite",E645+10,B645="Other",E645+30,B645="BAS",E645+56,B645="Seized",E645)</f>
        <v>45833</v>
      </c>
      <c r="G645" s="2">
        <v>45834</v>
      </c>
      <c r="H645" s="6">
        <f t="shared" si="23"/>
        <v>7</v>
      </c>
      <c r="I645" s="6">
        <f t="shared" si="22"/>
        <v>1</v>
      </c>
      <c r="J645" s="2" t="s">
        <v>31</v>
      </c>
    </row>
    <row r="646" spans="1:12" x14ac:dyDescent="0.25">
      <c r="A646" s="1">
        <v>40955</v>
      </c>
      <c r="B646" s="2" t="s">
        <v>38</v>
      </c>
      <c r="C646" t="s">
        <v>56</v>
      </c>
      <c r="D646" t="s">
        <v>208</v>
      </c>
      <c r="E646" s="2">
        <v>45827</v>
      </c>
      <c r="F646" s="2" cm="1">
        <f t="array" ref="F646">_xlfn.IFS(B646="Owner Surrender",E646,B646="Stray",E646+6,B646="Stray w/identification",E646+11,B646="Bite",E646+10,B646="Other",E646+30,B646="BAS",E646+56,B646="Seized",E646)</f>
        <v>45833</v>
      </c>
      <c r="G646" s="2">
        <v>45828</v>
      </c>
      <c r="H646" s="6">
        <f t="shared" si="23"/>
        <v>1</v>
      </c>
      <c r="I646" s="6">
        <f t="shared" si="22"/>
        <v>-5</v>
      </c>
      <c r="J646" s="2" t="s">
        <v>8</v>
      </c>
    </row>
    <row r="647" spans="1:12" x14ac:dyDescent="0.25">
      <c r="A647" s="1">
        <v>40956</v>
      </c>
      <c r="B647" s="2" t="s">
        <v>38</v>
      </c>
      <c r="C647" t="s">
        <v>79</v>
      </c>
      <c r="D647" t="s">
        <v>208</v>
      </c>
      <c r="E647" s="2">
        <v>45827</v>
      </c>
      <c r="F647" s="2" cm="1">
        <f t="array" ref="F647">_xlfn.IFS(B647="Owner Surrender",E647,B647="Stray",E647+6,B647="Stray w/identification",E647+11,B647="Bite",E647+10,B647="Other",E647+30,B647="BAS",E647+56,B647="Seized",E647)</f>
        <v>45833</v>
      </c>
      <c r="G647" s="2">
        <v>45828</v>
      </c>
      <c r="H647" s="6">
        <f t="shared" si="23"/>
        <v>1</v>
      </c>
      <c r="I647" s="6">
        <f t="shared" si="22"/>
        <v>-5</v>
      </c>
      <c r="J647" s="2" t="s">
        <v>8</v>
      </c>
    </row>
    <row r="648" spans="1:12" x14ac:dyDescent="0.25">
      <c r="A648" s="3">
        <v>40963</v>
      </c>
      <c r="B648" s="2" t="s">
        <v>38</v>
      </c>
      <c r="C648" t="s">
        <v>49</v>
      </c>
      <c r="D648" t="s">
        <v>208</v>
      </c>
      <c r="E648" s="2">
        <v>45828</v>
      </c>
      <c r="F648" s="2" cm="1">
        <f t="array" ref="F648">_xlfn.IFS(B648="Owner Surrender",E648,B648="Stray",E648+6,B648="Stray w/identification",E648+11,B648="Bite",E648+10,B648="Other",E648+30,B648="BAS",E648+56,B648="Seized",E648)</f>
        <v>45834</v>
      </c>
      <c r="G648" s="2">
        <v>45861</v>
      </c>
      <c r="H648" s="6">
        <f t="shared" si="23"/>
        <v>33</v>
      </c>
      <c r="I648" s="6">
        <f t="shared" si="22"/>
        <v>27</v>
      </c>
      <c r="J648" s="2" t="s">
        <v>31</v>
      </c>
    </row>
    <row r="649" spans="1:12" x14ac:dyDescent="0.25">
      <c r="A649" s="1">
        <v>40966</v>
      </c>
      <c r="B649" s="2" t="s">
        <v>180</v>
      </c>
      <c r="C649" t="s">
        <v>583</v>
      </c>
      <c r="D649" t="s">
        <v>208</v>
      </c>
      <c r="E649" s="2">
        <v>45829</v>
      </c>
      <c r="F649" s="2" cm="1">
        <f t="array" ref="F649">_xlfn.IFS(B649="Owner Surrender",E649,B649="Stray",E649+6,B649="Stray w/identification",E649+11,B649="Bite",E649+10,B649="Other",E649+30,B649="BAS",E649+56,B649="Seized",E649)</f>
        <v>45840</v>
      </c>
      <c r="G649" s="2">
        <v>45833</v>
      </c>
      <c r="H649" s="6">
        <f t="shared" si="23"/>
        <v>4</v>
      </c>
      <c r="I649" s="6">
        <f t="shared" si="22"/>
        <v>-7</v>
      </c>
      <c r="J649" s="2" t="s">
        <v>8</v>
      </c>
    </row>
    <row r="650" spans="1:12" x14ac:dyDescent="0.25">
      <c r="A650" s="1">
        <v>40967</v>
      </c>
      <c r="B650" s="2" t="s">
        <v>36</v>
      </c>
      <c r="C650" t="s">
        <v>76</v>
      </c>
      <c r="D650" t="s">
        <v>209</v>
      </c>
      <c r="E650" s="2">
        <v>45829</v>
      </c>
      <c r="F650" s="2" cm="1">
        <f t="array" ref="F650">_xlfn.IFS(B650="Owner Surrender",E650,B650="Stray",E650+6,B650="Stray w/identification",E650+11,B650="Bite",E650+10,B650="Other",E650+30,B650="BAS",E650+56,B650="Seized",E650)</f>
        <v>45829</v>
      </c>
      <c r="G650" s="2">
        <v>45835</v>
      </c>
      <c r="H650" s="6">
        <f t="shared" si="23"/>
        <v>6</v>
      </c>
      <c r="I650" s="6">
        <f t="shared" si="22"/>
        <v>6</v>
      </c>
      <c r="J650" s="2" t="s">
        <v>31</v>
      </c>
      <c r="K650" t="s">
        <v>582</v>
      </c>
    </row>
    <row r="651" spans="1:12" x14ac:dyDescent="0.25">
      <c r="A651" s="1">
        <v>40971</v>
      </c>
      <c r="B651" s="2" t="s">
        <v>36</v>
      </c>
      <c r="C651" t="s">
        <v>108</v>
      </c>
      <c r="D651" t="s">
        <v>208</v>
      </c>
      <c r="E651" s="2">
        <v>45830</v>
      </c>
      <c r="F651" s="2" cm="1">
        <f t="array" ref="F651">_xlfn.IFS(B651="Owner Surrender",E651,B651="Stray",E651+6,B651="Stray w/identification",E651+11,B651="Bite",E651+10,B651="Other",E651+30,B651="BAS",E651+56,B651="Seized",E651)</f>
        <v>45830</v>
      </c>
      <c r="G651" s="2">
        <v>45830</v>
      </c>
      <c r="H651" s="6">
        <f t="shared" si="23"/>
        <v>0</v>
      </c>
      <c r="I651" s="6">
        <f t="shared" si="22"/>
        <v>0</v>
      </c>
      <c r="J651" s="2" t="s">
        <v>31</v>
      </c>
      <c r="K651" t="s">
        <v>528</v>
      </c>
      <c r="L651" t="s">
        <v>124</v>
      </c>
    </row>
    <row r="652" spans="1:12" x14ac:dyDescent="0.25">
      <c r="A652" s="1">
        <v>40972</v>
      </c>
      <c r="B652" s="2" t="s">
        <v>38</v>
      </c>
      <c r="C652" t="s">
        <v>49</v>
      </c>
      <c r="D652" t="s">
        <v>208</v>
      </c>
      <c r="E652" s="2">
        <v>45830</v>
      </c>
      <c r="F652" s="2" cm="1">
        <f t="array" ref="F652">_xlfn.IFS(B652="Owner Surrender",E652,B652="Stray",E652+6,B652="Stray w/identification",E652+11,B652="Bite",E652+10,B652="Other",E652+30,B652="BAS",E652+56,B652="Seized",E652)</f>
        <v>45836</v>
      </c>
      <c r="G652" s="2">
        <v>45831</v>
      </c>
      <c r="H652" s="6">
        <f t="shared" si="23"/>
        <v>1</v>
      </c>
      <c r="I652" s="6">
        <f t="shared" si="22"/>
        <v>-5</v>
      </c>
      <c r="J652" s="2" t="s">
        <v>31</v>
      </c>
      <c r="L652" t="s">
        <v>67</v>
      </c>
    </row>
    <row r="653" spans="1:12" x14ac:dyDescent="0.25">
      <c r="A653" s="1">
        <v>40974</v>
      </c>
      <c r="B653" s="2" t="s">
        <v>180</v>
      </c>
      <c r="C653" t="s">
        <v>424</v>
      </c>
      <c r="D653" t="s">
        <v>208</v>
      </c>
      <c r="E653" s="2">
        <v>45831</v>
      </c>
      <c r="F653" s="2" cm="1">
        <f t="array" ref="F653">_xlfn.IFS(B653="Owner Surrender",E653,B653="Stray",E653+6,B653="Stray w/identification",E653+11,B653="Bite",E653+10,B653="Other",E653+30,B653="BAS",E653+56,B653="Seized",E653)</f>
        <v>45842</v>
      </c>
      <c r="G653" s="2">
        <v>45831</v>
      </c>
      <c r="H653" s="6">
        <f t="shared" si="23"/>
        <v>0</v>
      </c>
      <c r="I653" s="6">
        <f t="shared" si="22"/>
        <v>-11</v>
      </c>
      <c r="J653" s="2" t="s">
        <v>8</v>
      </c>
    </row>
    <row r="654" spans="1:12" x14ac:dyDescent="0.25">
      <c r="A654" s="1">
        <v>40978</v>
      </c>
      <c r="B654" s="2" t="s">
        <v>36</v>
      </c>
      <c r="C654" t="s">
        <v>49</v>
      </c>
      <c r="D654" t="s">
        <v>210</v>
      </c>
      <c r="E654" s="2">
        <v>45830</v>
      </c>
      <c r="F654" s="2" cm="1">
        <f t="array" ref="F654">_xlfn.IFS(B654="Owner Surrender",E654,B654="Stray",E654+6,B654="Stray w/identification",E654+11,B654="Bite",E654+10,B654="Other",E654+30,B654="BAS",E654+56,B654="Seized",E654)</f>
        <v>45830</v>
      </c>
      <c r="G654" s="2">
        <v>45831</v>
      </c>
      <c r="H654" s="6">
        <f t="shared" si="23"/>
        <v>1</v>
      </c>
      <c r="I654" s="6">
        <f t="shared" si="22"/>
        <v>1</v>
      </c>
      <c r="J654" s="2" t="s">
        <v>31</v>
      </c>
      <c r="L654" t="s">
        <v>581</v>
      </c>
    </row>
    <row r="655" spans="1:12" x14ac:dyDescent="0.25">
      <c r="A655" s="3">
        <v>40982</v>
      </c>
      <c r="B655" s="2" t="s">
        <v>38</v>
      </c>
      <c r="C655" t="s">
        <v>72</v>
      </c>
      <c r="D655" t="s">
        <v>208</v>
      </c>
      <c r="E655" s="2">
        <v>45830</v>
      </c>
      <c r="F655" s="2" cm="1">
        <f t="array" ref="F655">_xlfn.IFS(B655="Owner Surrender",E655,B655="Stray",E655+6,B655="Stray w/identification",E655+11,B655="Bite",E655+10,B655="Other",E655+30,B655="BAS",E655+56,B655="Seized",E655)</f>
        <v>45836</v>
      </c>
      <c r="G655" s="2">
        <v>45841</v>
      </c>
      <c r="H655" s="6">
        <f t="shared" si="23"/>
        <v>11</v>
      </c>
      <c r="I655" s="6">
        <f t="shared" si="22"/>
        <v>5</v>
      </c>
      <c r="J655" s="2" t="s">
        <v>31</v>
      </c>
    </row>
    <row r="656" spans="1:12" x14ac:dyDescent="0.25">
      <c r="A656" s="1">
        <v>40987</v>
      </c>
      <c r="B656" s="2" t="s">
        <v>36</v>
      </c>
      <c r="C656" t="s">
        <v>140</v>
      </c>
      <c r="D656" t="s">
        <v>208</v>
      </c>
      <c r="E656" s="2">
        <v>45831</v>
      </c>
      <c r="F656" s="2" cm="1">
        <f t="array" ref="F656">_xlfn.IFS(B656="Owner Surrender",E656,B656="Stray",E656+6,B656="Stray w/identification",E656+11,B656="Bite",E656+10,B656="Other",E656+30,B656="BAS",E656+56,B656="Seized",E656)</f>
        <v>45831</v>
      </c>
      <c r="G656" s="2">
        <v>45834</v>
      </c>
      <c r="H656" s="6">
        <f t="shared" si="23"/>
        <v>3</v>
      </c>
      <c r="I656" s="6">
        <f t="shared" si="22"/>
        <v>3</v>
      </c>
      <c r="J656" s="2" t="s">
        <v>31</v>
      </c>
      <c r="K656" t="s">
        <v>580</v>
      </c>
    </row>
    <row r="657" spans="1:12" x14ac:dyDescent="0.25">
      <c r="A657" s="1">
        <v>40989</v>
      </c>
      <c r="B657" s="2" t="s">
        <v>180</v>
      </c>
      <c r="C657" t="s">
        <v>50</v>
      </c>
      <c r="D657" t="s">
        <v>209</v>
      </c>
      <c r="E657" s="2">
        <v>45832</v>
      </c>
      <c r="F657" s="2" cm="1">
        <f t="array" ref="F657">_xlfn.IFS(B657="Owner Surrender",E657,B657="Stray",E657+6,B657="Stray w/identification",E657+11,B657="Bite",E657+10,B657="Other",E657+30,B657="BAS",E657+56,B657="Seized",E657)</f>
        <v>45843</v>
      </c>
      <c r="G657" s="2">
        <v>45832</v>
      </c>
      <c r="H657" s="6">
        <f t="shared" si="23"/>
        <v>0</v>
      </c>
      <c r="I657" s="6">
        <f t="shared" si="22"/>
        <v>-11</v>
      </c>
      <c r="J657" s="2" t="s">
        <v>8</v>
      </c>
    </row>
    <row r="658" spans="1:12" x14ac:dyDescent="0.25">
      <c r="A658" s="1">
        <v>40990</v>
      </c>
      <c r="B658" s="2" t="s">
        <v>180</v>
      </c>
      <c r="C658" t="s">
        <v>49</v>
      </c>
      <c r="D658" t="s">
        <v>208</v>
      </c>
      <c r="E658" s="2">
        <v>45832</v>
      </c>
      <c r="F658" s="2" cm="1">
        <f t="array" ref="F658">_xlfn.IFS(B658="Owner Surrender",E658,B658="Stray",E658+6,B658="Stray w/identification",E658+11,B658="Bite",E658+10,B658="Other",E658+30,B658="BAS",E658+56,B658="Seized",E658)</f>
        <v>45843</v>
      </c>
      <c r="G658" s="2">
        <v>45832</v>
      </c>
      <c r="H658" s="6">
        <f t="shared" si="23"/>
        <v>0</v>
      </c>
      <c r="I658" s="6">
        <f t="shared" si="22"/>
        <v>-11</v>
      </c>
      <c r="J658" s="2" t="s">
        <v>8</v>
      </c>
    </row>
    <row r="659" spans="1:12" x14ac:dyDescent="0.25">
      <c r="A659" s="3">
        <v>40992</v>
      </c>
      <c r="B659" s="2" t="s">
        <v>38</v>
      </c>
      <c r="C659" t="s">
        <v>76</v>
      </c>
      <c r="D659" t="s">
        <v>208</v>
      </c>
      <c r="E659" s="2">
        <v>45833</v>
      </c>
      <c r="F659" s="2" cm="1">
        <f t="array" ref="F659">_xlfn.IFS(B659="Owner Surrender",E659,B659="Stray",E659+6,B659="Stray w/identification",E659+11,B659="Bite",E659+10,B659="Other",E659+30,B659="BAS",E659+56,B659="Seized",E659)</f>
        <v>45839</v>
      </c>
      <c r="G659" s="2">
        <v>45841</v>
      </c>
      <c r="H659" s="6">
        <f t="shared" si="23"/>
        <v>8</v>
      </c>
      <c r="I659" s="6">
        <f t="shared" ref="I659:I677" si="24">G659-F659</f>
        <v>2</v>
      </c>
      <c r="J659" s="2" t="s">
        <v>8</v>
      </c>
    </row>
    <row r="660" spans="1:12" x14ac:dyDescent="0.25">
      <c r="A660" s="1">
        <v>40993</v>
      </c>
      <c r="B660" s="2" t="s">
        <v>180</v>
      </c>
      <c r="C660" t="s">
        <v>49</v>
      </c>
      <c r="D660" t="s">
        <v>210</v>
      </c>
      <c r="E660" s="2">
        <v>45833</v>
      </c>
      <c r="F660" s="2" cm="1">
        <f t="array" ref="F660">_xlfn.IFS(B660="Owner Surrender",E660,B660="Stray",E660+6,B660="Stray w/identification",E660+11,B660="Bite",E660+10,B660="Other",E660+30,B660="BAS",E660+56,B660="Seized",E660)</f>
        <v>45844</v>
      </c>
      <c r="G660" s="2">
        <v>45834</v>
      </c>
      <c r="H660" s="6">
        <f t="shared" si="23"/>
        <v>1</v>
      </c>
      <c r="I660" s="6">
        <f t="shared" si="24"/>
        <v>-10</v>
      </c>
      <c r="J660" s="2" t="s">
        <v>31</v>
      </c>
      <c r="L660" t="s">
        <v>67</v>
      </c>
    </row>
    <row r="661" spans="1:12" x14ac:dyDescent="0.25">
      <c r="A661" s="3">
        <v>40994</v>
      </c>
      <c r="B661" s="2" t="s">
        <v>180</v>
      </c>
      <c r="C661" t="s">
        <v>69</v>
      </c>
      <c r="D661" t="s">
        <v>208</v>
      </c>
      <c r="E661" s="2">
        <v>45833</v>
      </c>
      <c r="F661" s="2" cm="1">
        <f t="array" ref="F661">_xlfn.IFS(B661="Owner Surrender",E661,B661="Stray",E661+6,B661="Stray w/identification",E661+11,B661="Bite",E661+10,B661="Other",E661+30,B661="BAS",E661+56,B661="Seized",E661)</f>
        <v>45844</v>
      </c>
      <c r="G661" s="2">
        <v>45846</v>
      </c>
      <c r="H661" s="6">
        <f t="shared" si="23"/>
        <v>13</v>
      </c>
      <c r="I661" s="6">
        <f t="shared" si="24"/>
        <v>2</v>
      </c>
      <c r="J661" s="2" t="s">
        <v>31</v>
      </c>
      <c r="L661" t="s">
        <v>190</v>
      </c>
    </row>
    <row r="662" spans="1:12" x14ac:dyDescent="0.25">
      <c r="A662" s="3">
        <v>40997</v>
      </c>
      <c r="B662" s="2" t="s">
        <v>36</v>
      </c>
      <c r="C662" t="s">
        <v>63</v>
      </c>
      <c r="D662" t="s">
        <v>209</v>
      </c>
      <c r="E662" s="2">
        <v>45833</v>
      </c>
      <c r="F662" s="2" cm="1">
        <f t="array" ref="F662">_xlfn.IFS(B662="Owner Surrender",E662,B662="Stray",E662+6,B662="Stray w/identification",E662+11,B662="Bite",E662+10,B662="Other",E662+30,B662="BAS",E662+56,B662="Seized",E662)</f>
        <v>45833</v>
      </c>
      <c r="G662" s="2">
        <v>45839</v>
      </c>
      <c r="H662" s="6">
        <f t="shared" si="23"/>
        <v>6</v>
      </c>
      <c r="I662" s="6">
        <f t="shared" si="24"/>
        <v>6</v>
      </c>
      <c r="J662" s="2" t="s">
        <v>31</v>
      </c>
      <c r="L662" t="s">
        <v>67</v>
      </c>
    </row>
    <row r="663" spans="1:12" x14ac:dyDescent="0.25">
      <c r="A663" s="3">
        <v>40998</v>
      </c>
      <c r="B663" s="2" t="s">
        <v>36</v>
      </c>
      <c r="C663" t="s">
        <v>63</v>
      </c>
      <c r="D663" t="s">
        <v>209</v>
      </c>
      <c r="E663" s="2">
        <v>45833</v>
      </c>
      <c r="F663" s="2" cm="1">
        <f t="array" ref="F663">_xlfn.IFS(B663="Owner Surrender",E663,B663="Stray",E663+6,B663="Stray w/identification",E663+11,B663="Bite",E663+10,B663="Other",E663+30,B663="BAS",E663+56,B663="Seized",E663)</f>
        <v>45833</v>
      </c>
      <c r="G663" s="2">
        <v>45839</v>
      </c>
      <c r="H663" s="6">
        <f t="shared" si="23"/>
        <v>6</v>
      </c>
      <c r="I663" s="6">
        <f t="shared" si="24"/>
        <v>6</v>
      </c>
      <c r="J663" s="2" t="s">
        <v>31</v>
      </c>
      <c r="L663" t="s">
        <v>67</v>
      </c>
    </row>
    <row r="664" spans="1:12" x14ac:dyDescent="0.25">
      <c r="A664" s="3">
        <v>40999</v>
      </c>
      <c r="B664" s="2" t="s">
        <v>36</v>
      </c>
      <c r="C664" t="s">
        <v>63</v>
      </c>
      <c r="D664" t="s">
        <v>209</v>
      </c>
      <c r="E664" s="2">
        <v>45833</v>
      </c>
      <c r="F664" s="2" cm="1">
        <f t="array" ref="F664">_xlfn.IFS(B664="Owner Surrender",E664,B664="Stray",E664+6,B664="Stray w/identification",E664+11,B664="Bite",E664+10,B664="Other",E664+30,B664="BAS",E664+56,B664="Seized",E664)</f>
        <v>45833</v>
      </c>
      <c r="G664" s="2">
        <v>45839</v>
      </c>
      <c r="H664" s="6">
        <f t="shared" si="23"/>
        <v>6</v>
      </c>
      <c r="I664" s="6">
        <f t="shared" si="24"/>
        <v>6</v>
      </c>
      <c r="J664" s="2" t="s">
        <v>31</v>
      </c>
    </row>
    <row r="665" spans="1:12" x14ac:dyDescent="0.25">
      <c r="A665" s="3">
        <v>41000</v>
      </c>
      <c r="B665" s="2" t="s">
        <v>36</v>
      </c>
      <c r="C665" t="s">
        <v>78</v>
      </c>
      <c r="D665" t="s">
        <v>209</v>
      </c>
      <c r="E665" s="2">
        <v>45833</v>
      </c>
      <c r="F665" s="2" cm="1">
        <f t="array" ref="F665">_xlfn.IFS(B665="Owner Surrender",E665,B665="Stray",E665+6,B665="Stray w/identification",E665+11,B665="Bite",E665+10,B665="Other",E665+30,B665="BAS",E665+56,B665="Seized",E665)</f>
        <v>45833</v>
      </c>
      <c r="G665" s="2">
        <v>45839</v>
      </c>
      <c r="H665" s="6">
        <f t="shared" si="23"/>
        <v>6</v>
      </c>
      <c r="I665" s="6">
        <f t="shared" si="24"/>
        <v>6</v>
      </c>
      <c r="J665" s="2" t="s">
        <v>31</v>
      </c>
    </row>
    <row r="666" spans="1:12" x14ac:dyDescent="0.25">
      <c r="A666" s="3">
        <v>41002</v>
      </c>
      <c r="B666" s="2" t="s">
        <v>38</v>
      </c>
      <c r="C666" t="s">
        <v>73</v>
      </c>
      <c r="D666" t="s">
        <v>210</v>
      </c>
      <c r="E666" s="2">
        <v>45833</v>
      </c>
      <c r="F666" s="2" cm="1">
        <f t="array" ref="F666">_xlfn.IFS(B666="Owner Surrender",E666,B666="Stray",E666+6,B666="Stray w/identification",E666+11,B666="Bite",E666+10,B666="Other",E666+30,B666="BAS",E666+56,B666="Seized",E666)</f>
        <v>45839</v>
      </c>
      <c r="G666" s="2">
        <v>45841</v>
      </c>
      <c r="H666" s="6">
        <f t="shared" si="23"/>
        <v>8</v>
      </c>
      <c r="I666" s="6">
        <f t="shared" si="24"/>
        <v>2</v>
      </c>
      <c r="J666" s="2" t="s">
        <v>31</v>
      </c>
      <c r="K666" t="s">
        <v>191</v>
      </c>
    </row>
    <row r="667" spans="1:12" x14ac:dyDescent="0.25">
      <c r="A667" s="1">
        <v>41003</v>
      </c>
      <c r="B667" s="2" t="s">
        <v>38</v>
      </c>
      <c r="C667" t="s">
        <v>79</v>
      </c>
      <c r="D667" t="s">
        <v>208</v>
      </c>
      <c r="E667" s="2">
        <v>45834</v>
      </c>
      <c r="F667" s="2" cm="1">
        <f t="array" ref="F667">_xlfn.IFS(B667="Owner Surrender",E667,B667="Stray",E667+6,B667="Stray w/identification",E667+11,B667="Bite",E667+10,B667="Other",E667+30,B667="BAS",E667+56,B667="Seized",E667)</f>
        <v>45840</v>
      </c>
      <c r="G667" s="2">
        <v>45835</v>
      </c>
      <c r="H667" s="6">
        <f t="shared" si="23"/>
        <v>1</v>
      </c>
      <c r="I667" s="6">
        <f t="shared" si="24"/>
        <v>-5</v>
      </c>
      <c r="J667" s="2" t="s">
        <v>8</v>
      </c>
    </row>
    <row r="668" spans="1:12" x14ac:dyDescent="0.25">
      <c r="A668" s="3">
        <v>41007</v>
      </c>
      <c r="B668" s="2" t="s">
        <v>38</v>
      </c>
      <c r="C668" t="s">
        <v>76</v>
      </c>
      <c r="D668" t="s">
        <v>208</v>
      </c>
      <c r="E668" s="2">
        <v>45834</v>
      </c>
      <c r="F668" s="2" cm="1">
        <f t="array" ref="F668">_xlfn.IFS(B668="Owner Surrender",E668,B668="Stray",E668+6,B668="Stray w/identification",E668+11,B668="Bite",E668+10,B668="Other",E668+30,B668="BAS",E668+56,B668="Seized",E668)</f>
        <v>45840</v>
      </c>
      <c r="G668" s="2">
        <v>45841</v>
      </c>
      <c r="H668" s="6">
        <f t="shared" si="23"/>
        <v>7</v>
      </c>
      <c r="I668" s="6">
        <f t="shared" si="24"/>
        <v>1</v>
      </c>
      <c r="J668" s="2" t="s">
        <v>31</v>
      </c>
    </row>
    <row r="669" spans="1:12" x14ac:dyDescent="0.25">
      <c r="A669" s="3">
        <v>41020</v>
      </c>
      <c r="B669" s="2" t="s">
        <v>36</v>
      </c>
      <c r="C669" t="s">
        <v>118</v>
      </c>
      <c r="D669" t="s">
        <v>210</v>
      </c>
      <c r="E669" s="2">
        <v>45835</v>
      </c>
      <c r="F669" s="2" cm="1">
        <f t="array" ref="F669">_xlfn.IFS(B669="Owner Surrender",E669,B669="Stray",E669+6,B669="Stray w/identification",E669+11,B669="Bite",E669+10,B669="Other",E669+30,B669="BAS",E669+56,B669="Seized",E669)</f>
        <v>45835</v>
      </c>
      <c r="G669" s="2">
        <v>45848</v>
      </c>
      <c r="H669" s="6">
        <f t="shared" si="23"/>
        <v>13</v>
      </c>
      <c r="I669" s="6">
        <f t="shared" si="24"/>
        <v>13</v>
      </c>
      <c r="J669" s="2" t="s">
        <v>31</v>
      </c>
    </row>
    <row r="670" spans="1:12" x14ac:dyDescent="0.25">
      <c r="A670" s="3">
        <v>41022</v>
      </c>
      <c r="B670" s="2" t="s">
        <v>38</v>
      </c>
      <c r="C670" t="s">
        <v>49</v>
      </c>
      <c r="D670" t="s">
        <v>208</v>
      </c>
      <c r="E670" s="2">
        <v>45836</v>
      </c>
      <c r="F670" s="2" cm="1">
        <f t="array" ref="F670">_xlfn.IFS(B670="Owner Surrender",E670,B670="Stray",E670+6,B670="Stray w/identification",E670+11,B670="Bite",E670+10,B670="Other",E670+30,B670="BAS",E670+56,B670="Seized",E670)</f>
        <v>45842</v>
      </c>
      <c r="G670" s="2">
        <v>45851</v>
      </c>
      <c r="H670" s="6">
        <f t="shared" si="23"/>
        <v>15</v>
      </c>
      <c r="I670" s="6">
        <f t="shared" si="24"/>
        <v>9</v>
      </c>
      <c r="J670" s="2" t="s">
        <v>31</v>
      </c>
      <c r="L670" t="s">
        <v>110</v>
      </c>
    </row>
    <row r="671" spans="1:12" x14ac:dyDescent="0.25">
      <c r="A671" s="3">
        <v>41023</v>
      </c>
      <c r="B671" s="2" t="s">
        <v>38</v>
      </c>
      <c r="C671" t="s">
        <v>49</v>
      </c>
      <c r="D671" t="s">
        <v>210</v>
      </c>
      <c r="E671" s="2">
        <v>45836</v>
      </c>
      <c r="F671" s="2" cm="1">
        <f t="array" ref="F671">_xlfn.IFS(B671="Owner Surrender",E671,B671="Stray",E671+6,B671="Stray w/identification",E671+11,B671="Bite",E671+10,B671="Other",E671+30,B671="BAS",E671+56,B671="Seized",E671)</f>
        <v>45842</v>
      </c>
      <c r="G671" s="2">
        <v>45851</v>
      </c>
      <c r="H671" s="6">
        <f t="shared" si="23"/>
        <v>15</v>
      </c>
      <c r="I671" s="6">
        <f t="shared" si="24"/>
        <v>9</v>
      </c>
      <c r="J671" s="2" t="s">
        <v>31</v>
      </c>
      <c r="L671" t="s">
        <v>110</v>
      </c>
    </row>
    <row r="672" spans="1:12" x14ac:dyDescent="0.25">
      <c r="A672" s="3">
        <v>41024</v>
      </c>
      <c r="B672" s="2" t="s">
        <v>38</v>
      </c>
      <c r="C672" t="s">
        <v>49</v>
      </c>
      <c r="D672" t="s">
        <v>210</v>
      </c>
      <c r="E672" s="2">
        <v>45836</v>
      </c>
      <c r="F672" s="2" cm="1">
        <f t="array" ref="F672">_xlfn.IFS(B672="Owner Surrender",E672,B672="Stray",E672+6,B672="Stray w/identification",E672+11,B672="Bite",E672+10,B672="Other",E672+30,B672="BAS",E672+56,B672="Seized",E672)</f>
        <v>45842</v>
      </c>
      <c r="G672" s="2">
        <v>45851</v>
      </c>
      <c r="H672" s="6">
        <f t="shared" si="23"/>
        <v>15</v>
      </c>
      <c r="I672" s="6">
        <f t="shared" si="24"/>
        <v>9</v>
      </c>
      <c r="J672" s="2" t="s">
        <v>31</v>
      </c>
      <c r="L672" t="s">
        <v>110</v>
      </c>
    </row>
    <row r="673" spans="1:12" x14ac:dyDescent="0.25">
      <c r="A673" s="3">
        <v>41029</v>
      </c>
      <c r="B673" s="2" t="s">
        <v>38</v>
      </c>
      <c r="C673" t="s">
        <v>71</v>
      </c>
      <c r="D673" t="s">
        <v>208</v>
      </c>
      <c r="E673" s="2">
        <v>45835</v>
      </c>
      <c r="F673" s="2" cm="1">
        <f t="array" ref="F673">_xlfn.IFS(B673="Owner Surrender",E673,B673="Stray",E673+6,B673="Stray w/identification",E673+11,B673="Bite",E673+10,B673="Other",E673+30,B673="BAS",E673+56,B673="Seized",E673)</f>
        <v>45841</v>
      </c>
      <c r="G673" s="2">
        <v>45846</v>
      </c>
      <c r="H673" s="6">
        <f t="shared" si="23"/>
        <v>11</v>
      </c>
      <c r="I673" s="6">
        <f t="shared" si="24"/>
        <v>5</v>
      </c>
      <c r="J673" s="2" t="s">
        <v>31</v>
      </c>
    </row>
    <row r="674" spans="1:12" x14ac:dyDescent="0.25">
      <c r="A674" s="3">
        <v>41043</v>
      </c>
      <c r="B674" s="2" t="s">
        <v>36</v>
      </c>
      <c r="C674" t="s">
        <v>120</v>
      </c>
      <c r="D674" t="s">
        <v>208</v>
      </c>
      <c r="E674" s="2">
        <v>45836</v>
      </c>
      <c r="F674" s="2" cm="1">
        <f t="array" ref="F674">_xlfn.IFS(B674="Owner Surrender",E674,B674="Stray",E674+6,B674="Stray w/identification",E674+11,B674="Bite",E674+10,B674="Other",E674+30,B674="BAS",E674+56,B674="Seized",E674)</f>
        <v>45836</v>
      </c>
      <c r="G674" s="2">
        <v>45861</v>
      </c>
      <c r="H674" s="6">
        <f t="shared" si="23"/>
        <v>25</v>
      </c>
      <c r="I674" s="6">
        <f t="shared" si="24"/>
        <v>25</v>
      </c>
      <c r="J674" s="2" t="s">
        <v>31</v>
      </c>
      <c r="K674" s="2" t="s">
        <v>121</v>
      </c>
    </row>
    <row r="675" spans="1:12" x14ac:dyDescent="0.25">
      <c r="A675" s="3">
        <v>41045</v>
      </c>
      <c r="B675" s="2" t="s">
        <v>38</v>
      </c>
      <c r="C675" t="s">
        <v>49</v>
      </c>
      <c r="D675" t="s">
        <v>208</v>
      </c>
      <c r="E675" s="2">
        <v>45837</v>
      </c>
      <c r="F675" s="2" cm="1">
        <f t="array" ref="F675">_xlfn.IFS(B675="Owner Surrender",E675,B675="Stray",E675+6,B675="Stray w/identification",E675+11,B675="Bite",E675+10,B675="Other",E675+30,B675="BAS",E675+56,B675="Seized",E675)</f>
        <v>45843</v>
      </c>
      <c r="G675" s="2">
        <v>45844</v>
      </c>
      <c r="H675" s="6">
        <f t="shared" si="23"/>
        <v>7</v>
      </c>
      <c r="I675" s="6">
        <f t="shared" si="24"/>
        <v>1</v>
      </c>
      <c r="J675" s="2" t="s">
        <v>31</v>
      </c>
      <c r="K675" s="2" t="s">
        <v>192</v>
      </c>
    </row>
    <row r="676" spans="1:12" x14ac:dyDescent="0.25">
      <c r="A676" s="3">
        <v>41046</v>
      </c>
      <c r="B676" s="2" t="s">
        <v>180</v>
      </c>
      <c r="C676" t="s">
        <v>50</v>
      </c>
      <c r="D676" t="s">
        <v>208</v>
      </c>
      <c r="E676" s="2">
        <v>45838</v>
      </c>
      <c r="F676" s="2" cm="1">
        <f t="array" ref="F676">_xlfn.IFS(B676="Owner Surrender",E676,B676="Stray",E676+6,B676="Stray w/identification",E676+11,B676="Bite",E676+10,B676="Other",E676+30,B676="BAS",E676+56,B676="Seized",E676)</f>
        <v>45849</v>
      </c>
      <c r="G676" s="2">
        <v>45852</v>
      </c>
      <c r="H676" s="6">
        <f t="shared" si="23"/>
        <v>14</v>
      </c>
      <c r="I676" s="6">
        <f t="shared" si="24"/>
        <v>3</v>
      </c>
      <c r="J676" s="2" t="s">
        <v>31</v>
      </c>
      <c r="K676" s="2" t="s">
        <v>122</v>
      </c>
    </row>
    <row r="677" spans="1:12" x14ac:dyDescent="0.25">
      <c r="A677" s="1">
        <v>41050</v>
      </c>
      <c r="B677" s="2" t="s">
        <v>61</v>
      </c>
      <c r="C677" t="s">
        <v>50</v>
      </c>
      <c r="D677" t="s">
        <v>209</v>
      </c>
      <c r="E677" s="2">
        <v>45838</v>
      </c>
      <c r="F677" s="2" cm="1">
        <f t="array" ref="F677">_xlfn.IFS(B677="Owner Surrender",E677,B677="Stray",E677+6,B677="Stray w/identification",E677+11,B677="Bite",E677+10,B677="Other",E677+30,B677="BAS",E677+56,B677="Seized",E677)</f>
        <v>45868</v>
      </c>
      <c r="H677" s="6">
        <f t="shared" si="23"/>
        <v>-45838</v>
      </c>
      <c r="I677" s="6">
        <f t="shared" si="24"/>
        <v>-45868</v>
      </c>
      <c r="J677" s="2" t="s">
        <v>21</v>
      </c>
    </row>
    <row r="678" spans="1:12" x14ac:dyDescent="0.25">
      <c r="A678" s="3">
        <v>41051</v>
      </c>
      <c r="B678" s="2" t="s">
        <v>61</v>
      </c>
      <c r="C678" t="s">
        <v>50</v>
      </c>
      <c r="D678" t="s">
        <v>209</v>
      </c>
      <c r="E678" s="2">
        <v>45838</v>
      </c>
      <c r="F678" s="2" cm="1">
        <f t="array" ref="F678">_xlfn.IFS(B678="Owner Surrender",E678,B678="Stray",E678+6,B678="Stray w/identification",E678+11,B678="Bite",E678+10,B678="Other",E678+30,B678="BAS",E678+56,B678="Seized",E678)</f>
        <v>45868</v>
      </c>
      <c r="G678" s="2">
        <v>45868</v>
      </c>
      <c r="H678" s="6">
        <f t="shared" si="23"/>
        <v>30</v>
      </c>
      <c r="J678" s="2" t="s">
        <v>31</v>
      </c>
    </row>
    <row r="679" spans="1:12" s="25" customFormat="1" x14ac:dyDescent="0.25">
      <c r="A679" s="27">
        <v>41052</v>
      </c>
      <c r="B679" s="20" t="s">
        <v>61</v>
      </c>
      <c r="C679" s="25" t="s">
        <v>50</v>
      </c>
      <c r="D679" s="25" t="s">
        <v>208</v>
      </c>
      <c r="E679" s="20">
        <v>45838</v>
      </c>
      <c r="F679" s="20" cm="1">
        <f t="array" ref="F679">_xlfn.IFS(B679="Owner Surrender",E679,B679="Stray",E679+6,B679="Stray w/identification",E679+11,B679="Bite",E679+10,B679="Other",E679+30,B679="BAS",E679+56,B679="Seized",E679)</f>
        <v>45868</v>
      </c>
      <c r="G679" s="20">
        <v>45861</v>
      </c>
      <c r="H679" s="26">
        <f t="shared" si="23"/>
        <v>23</v>
      </c>
      <c r="I679" s="26"/>
      <c r="J679" s="20" t="s">
        <v>31</v>
      </c>
    </row>
    <row r="680" spans="1:12" s="25" customFormat="1" x14ac:dyDescent="0.25">
      <c r="A680" s="28">
        <v>41052</v>
      </c>
      <c r="B680" s="20" t="s">
        <v>61</v>
      </c>
      <c r="C680" s="25" t="s">
        <v>50</v>
      </c>
      <c r="D680" s="25" t="s">
        <v>209</v>
      </c>
      <c r="E680" s="20">
        <v>45838</v>
      </c>
      <c r="F680" s="20" cm="1">
        <f t="array" ref="F680">_xlfn.IFS(B680="Owner Surrender",E680,B680="Stray",E680+6,B680="Stray w/identification",E680+11,B680="Bite",E680+10,B680="Other",E680+30,B680="BAS",E680+56,B680="Seized",E680)</f>
        <v>45868</v>
      </c>
      <c r="G680" s="20"/>
      <c r="H680" s="26">
        <f t="shared" si="23"/>
        <v>-45838</v>
      </c>
      <c r="I680" s="26">
        <f t="shared" ref="I680:I691" si="25">G680-F680</f>
        <v>-45868</v>
      </c>
      <c r="J680" s="20" t="s">
        <v>21</v>
      </c>
    </row>
    <row r="681" spans="1:12" x14ac:dyDescent="0.25">
      <c r="A681" s="1">
        <v>41053</v>
      </c>
      <c r="B681" s="2" t="s">
        <v>53</v>
      </c>
      <c r="C681" t="s">
        <v>50</v>
      </c>
      <c r="D681" t="s">
        <v>208</v>
      </c>
      <c r="E681" s="2">
        <v>45838</v>
      </c>
      <c r="F681" s="2" cm="1">
        <f t="array" ref="F681">_xlfn.IFS(B681="Owner Surrender",E681,B681="Stray",E681+6,B681="Stray w/identification",E681+11,B681="Bite",E681+10,B681="Other",E681+30,B681="BAS",E681+56,B681="Seized",E681)</f>
        <v>45838</v>
      </c>
      <c r="H681" s="6">
        <f t="shared" si="23"/>
        <v>-45838</v>
      </c>
      <c r="I681" s="6">
        <f t="shared" si="25"/>
        <v>-45838</v>
      </c>
      <c r="J681" s="2" t="s">
        <v>21</v>
      </c>
      <c r="L681" t="s">
        <v>579</v>
      </c>
    </row>
    <row r="682" spans="1:12" x14ac:dyDescent="0.25">
      <c r="A682" s="3">
        <v>41054</v>
      </c>
      <c r="B682" s="2" t="s">
        <v>38</v>
      </c>
      <c r="C682" t="s">
        <v>70</v>
      </c>
      <c r="D682" t="s">
        <v>208</v>
      </c>
      <c r="E682" s="2">
        <v>45838</v>
      </c>
      <c r="F682" s="2" cm="1">
        <f t="array" ref="F682">_xlfn.IFS(B682="Owner Surrender",E682,B682="Stray",E682+6,B682="Stray w/identification",E682+11,B682="Bite",E682+10,B682="Other",E682+30,B682="BAS",E682+56,B682="Seized",E682)</f>
        <v>45844</v>
      </c>
      <c r="G682" s="2">
        <v>45849</v>
      </c>
      <c r="H682" s="6">
        <f t="shared" si="23"/>
        <v>11</v>
      </c>
      <c r="I682" s="6">
        <f t="shared" si="25"/>
        <v>5</v>
      </c>
      <c r="J682" s="2" t="s">
        <v>18</v>
      </c>
      <c r="L682" t="s">
        <v>19</v>
      </c>
    </row>
    <row r="683" spans="1:12" x14ac:dyDescent="0.25">
      <c r="A683" s="3">
        <v>41055</v>
      </c>
      <c r="B683" s="2" t="s">
        <v>38</v>
      </c>
      <c r="C683" t="s">
        <v>90</v>
      </c>
      <c r="D683" t="s">
        <v>208</v>
      </c>
      <c r="E683" s="2">
        <v>45838</v>
      </c>
      <c r="F683" s="2" cm="1">
        <f t="array" ref="F683">_xlfn.IFS(B683="Owner Surrender",E683,B683="Stray",E683+6,B683="Stray w/identification",E683+11,B683="Bite",E683+10,B683="Other",E683+30,B683="BAS",E683+56,B683="Seized",E683)</f>
        <v>45844</v>
      </c>
      <c r="G683" s="2">
        <v>45849</v>
      </c>
      <c r="H683" s="6">
        <f t="shared" si="23"/>
        <v>11</v>
      </c>
      <c r="I683" s="6">
        <f t="shared" si="25"/>
        <v>5</v>
      </c>
      <c r="J683" s="2" t="s">
        <v>18</v>
      </c>
      <c r="K683" s="2" t="s">
        <v>91</v>
      </c>
      <c r="L683" s="2" t="s">
        <v>19</v>
      </c>
    </row>
    <row r="684" spans="1:12" x14ac:dyDescent="0.25">
      <c r="A684" s="3">
        <v>41056</v>
      </c>
      <c r="B684" s="2" t="s">
        <v>36</v>
      </c>
      <c r="C684" t="s">
        <v>49</v>
      </c>
      <c r="D684" t="s">
        <v>208</v>
      </c>
      <c r="E684" s="2">
        <v>45838</v>
      </c>
      <c r="F684" s="2" cm="1">
        <f t="array" ref="F684">_xlfn.IFS(B684="Owner Surrender",E684,B684="Stray",E684+6,B684="Stray w/identification",E684+11,B684="Bite",E684+10,B684="Other",E684+30,B684="BAS",E684+56,B684="Seized",E684)</f>
        <v>45838</v>
      </c>
      <c r="G684" s="2">
        <v>45841</v>
      </c>
      <c r="H684" s="6">
        <f t="shared" si="23"/>
        <v>3</v>
      </c>
      <c r="I684" s="6">
        <f t="shared" si="25"/>
        <v>3</v>
      </c>
      <c r="J684" s="2" t="s">
        <v>31</v>
      </c>
    </row>
    <row r="685" spans="1:12" x14ac:dyDescent="0.25">
      <c r="A685" s="3">
        <v>41063</v>
      </c>
      <c r="B685" s="2" t="s">
        <v>38</v>
      </c>
      <c r="C685" t="s">
        <v>54</v>
      </c>
      <c r="D685" t="s">
        <v>208</v>
      </c>
      <c r="E685" s="2">
        <v>45839</v>
      </c>
      <c r="F685" s="2" cm="1">
        <f t="array" ref="F685">_xlfn.IFS(B685="Owner Surrender",E685,B685="Stray",E685+6,B685="Stray w/identification",E685+11,B685="Bite",E685+10,B685="Other",E685+30,B685="BAS",E685+56,B685="Seized",E685)</f>
        <v>45845</v>
      </c>
      <c r="G685" s="2">
        <v>45853</v>
      </c>
      <c r="H685" s="6">
        <f t="shared" si="23"/>
        <v>14</v>
      </c>
      <c r="I685" s="6">
        <f t="shared" si="25"/>
        <v>8</v>
      </c>
      <c r="J685" s="2" t="s">
        <v>11</v>
      </c>
    </row>
    <row r="686" spans="1:12" x14ac:dyDescent="0.25">
      <c r="A686" s="3">
        <v>41064</v>
      </c>
      <c r="B686" s="2" t="s">
        <v>36</v>
      </c>
      <c r="C686" t="s">
        <v>57</v>
      </c>
      <c r="D686" t="s">
        <v>208</v>
      </c>
      <c r="E686" s="2">
        <v>45839</v>
      </c>
      <c r="F686" s="2" cm="1">
        <f t="array" ref="F686">_xlfn.IFS(B686="Owner Surrender",E686,B686="Stray",E686+6,B686="Stray w/identification",E686+11,B686="Bite",E686+10,B686="Other",E686+30,B686="BAS",E686+56,B686="Seized",E686)</f>
        <v>45839</v>
      </c>
      <c r="G686" s="2">
        <v>45846</v>
      </c>
      <c r="H686" s="6">
        <f t="shared" si="23"/>
        <v>7</v>
      </c>
      <c r="I686" s="6">
        <f t="shared" si="25"/>
        <v>7</v>
      </c>
      <c r="J686" s="2" t="s">
        <v>31</v>
      </c>
      <c r="L686" t="s">
        <v>77</v>
      </c>
    </row>
    <row r="687" spans="1:12" x14ac:dyDescent="0.25">
      <c r="A687" s="3">
        <v>41065</v>
      </c>
      <c r="B687" s="2" t="s">
        <v>180</v>
      </c>
      <c r="C687" t="s">
        <v>70</v>
      </c>
      <c r="D687" t="s">
        <v>208</v>
      </c>
      <c r="E687" s="2">
        <v>45839</v>
      </c>
      <c r="F687" s="2" cm="1">
        <f t="array" ref="F687">_xlfn.IFS(B687="Owner Surrender",E687,B687="Stray",E687+6,B687="Stray w/identification",E687+11,B687="Bite",E687+10,B687="Other",E687+30,B687="BAS",E687+56,B687="Seized",E687)</f>
        <v>45850</v>
      </c>
      <c r="G687" s="2">
        <v>45846</v>
      </c>
      <c r="H687" s="6">
        <f t="shared" si="23"/>
        <v>7</v>
      </c>
      <c r="I687" s="6">
        <f t="shared" si="25"/>
        <v>-4</v>
      </c>
      <c r="J687" s="2" t="s">
        <v>31</v>
      </c>
      <c r="L687" t="s">
        <v>193</v>
      </c>
    </row>
    <row r="688" spans="1:12" x14ac:dyDescent="0.25">
      <c r="A688" s="3">
        <v>41066</v>
      </c>
      <c r="B688" s="2" t="s">
        <v>38</v>
      </c>
      <c r="C688" t="s">
        <v>70</v>
      </c>
      <c r="D688" t="s">
        <v>209</v>
      </c>
      <c r="E688" s="2">
        <v>45839</v>
      </c>
      <c r="F688" s="2" cm="1">
        <f t="array" ref="F688">_xlfn.IFS(B688="Owner Surrender",E688,B688="Stray",E688+6,B688="Stray w/identification",E688+11,B688="Bite",E688+10,B688="Other",E688+30,B688="BAS",E688+56,B688="Seized",E688)</f>
        <v>45845</v>
      </c>
      <c r="G688" s="2">
        <v>45846</v>
      </c>
      <c r="H688" s="6">
        <f t="shared" si="23"/>
        <v>7</v>
      </c>
      <c r="I688" s="6">
        <f t="shared" si="25"/>
        <v>1</v>
      </c>
      <c r="J688" s="2" t="s">
        <v>31</v>
      </c>
      <c r="L688" t="s">
        <v>67</v>
      </c>
    </row>
    <row r="689" spans="1:12" x14ac:dyDescent="0.25">
      <c r="A689" s="3">
        <v>41067</v>
      </c>
      <c r="B689" s="2" t="s">
        <v>38</v>
      </c>
      <c r="C689" t="s">
        <v>70</v>
      </c>
      <c r="D689" t="s">
        <v>209</v>
      </c>
      <c r="E689" s="2">
        <v>45839</v>
      </c>
      <c r="F689" s="2" cm="1">
        <f t="array" ref="F689">_xlfn.IFS(B689="Owner Surrender",E689,B689="Stray",E689+6,B689="Stray w/identification",E689+11,B689="Bite",E689+10,B689="Other",E689+30,B689="BAS",E689+56,B689="Seized",E689)</f>
        <v>45845</v>
      </c>
      <c r="G689" s="2">
        <v>45846</v>
      </c>
      <c r="H689" s="6">
        <f t="shared" si="23"/>
        <v>7</v>
      </c>
      <c r="I689" s="6">
        <f t="shared" si="25"/>
        <v>1</v>
      </c>
      <c r="J689" s="2" t="s">
        <v>31</v>
      </c>
      <c r="L689" t="s">
        <v>67</v>
      </c>
    </row>
    <row r="690" spans="1:12" x14ac:dyDescent="0.25">
      <c r="A690" s="3">
        <v>41068</v>
      </c>
      <c r="B690" s="2" t="s">
        <v>38</v>
      </c>
      <c r="C690" t="s">
        <v>70</v>
      </c>
      <c r="D690" t="s">
        <v>209</v>
      </c>
      <c r="E690" s="2">
        <v>45839</v>
      </c>
      <c r="F690" s="2" cm="1">
        <f t="array" ref="F690">_xlfn.IFS(B690="Owner Surrender",E690,B690="Stray",E690+6,B690="Stray w/identification",E690+11,B690="Bite",E690+10,B690="Other",E690+30,B690="BAS",E690+56,B690="Seized",E690)</f>
        <v>45845</v>
      </c>
      <c r="G690" s="2">
        <v>45846</v>
      </c>
      <c r="H690" s="6">
        <f t="shared" si="23"/>
        <v>7</v>
      </c>
      <c r="I690" s="6">
        <f t="shared" si="25"/>
        <v>1</v>
      </c>
      <c r="J690" s="2" t="s">
        <v>31</v>
      </c>
      <c r="L690" t="s">
        <v>67</v>
      </c>
    </row>
    <row r="691" spans="1:12" x14ac:dyDescent="0.25">
      <c r="A691" s="3">
        <v>41074</v>
      </c>
      <c r="B691" s="2" t="s">
        <v>44</v>
      </c>
      <c r="C691" t="s">
        <v>50</v>
      </c>
      <c r="D691" t="s">
        <v>209</v>
      </c>
      <c r="E691" s="2">
        <v>45839</v>
      </c>
      <c r="F691" s="2" cm="1">
        <f t="array" ref="F691">_xlfn.IFS(B691="Owner Surrender",E691,B691="Stray",E691+6,B691="Stray w/identification",E691+11,B691="Bite",E691+10,B691="Other",E691+30,B691="BAS",E691+56,B691="Seized",E691)</f>
        <v>45895</v>
      </c>
      <c r="G691" s="2">
        <v>45869</v>
      </c>
      <c r="H691" s="6">
        <f t="shared" si="23"/>
        <v>30</v>
      </c>
      <c r="I691" s="6">
        <f t="shared" si="25"/>
        <v>-26</v>
      </c>
      <c r="J691" s="2" t="s">
        <v>28</v>
      </c>
      <c r="L691" t="s">
        <v>112</v>
      </c>
    </row>
    <row r="692" spans="1:12" x14ac:dyDescent="0.25">
      <c r="A692" s="3">
        <v>41075</v>
      </c>
      <c r="B692" s="2" t="s">
        <v>44</v>
      </c>
      <c r="C692" t="s">
        <v>50</v>
      </c>
      <c r="D692" t="s">
        <v>209</v>
      </c>
      <c r="E692" s="2">
        <v>45839</v>
      </c>
      <c r="F692" s="2" cm="1">
        <f t="array" ref="F692">_xlfn.IFS(B692="Owner Surrender",E692,B692="Stray",E692+6,B692="Stray w/identification",E692+11,B692="Bite",E692+10,B692="Other",E692+30,B692="BAS",E692+56,B692="Seized",E692)</f>
        <v>45895</v>
      </c>
      <c r="J692" s="2" t="s">
        <v>21</v>
      </c>
      <c r="L692" s="2" t="s">
        <v>104</v>
      </c>
    </row>
    <row r="693" spans="1:12" x14ac:dyDescent="0.25">
      <c r="A693" s="3">
        <v>41076</v>
      </c>
      <c r="B693" s="2" t="s">
        <v>44</v>
      </c>
      <c r="C693" t="s">
        <v>50</v>
      </c>
      <c r="D693" t="s">
        <v>209</v>
      </c>
      <c r="E693" s="2">
        <v>45839</v>
      </c>
      <c r="F693" s="2" cm="1">
        <f t="array" ref="F693">_xlfn.IFS(B693="Owner Surrender",E693,B693="Stray",E693+6,B693="Stray w/identification",E693+11,B693="Bite",E693+10,B693="Other",E693+30,B693="BAS",E693+56,B693="Seized",E693)</f>
        <v>45895</v>
      </c>
      <c r="G693" s="2">
        <v>45877</v>
      </c>
      <c r="H693" s="6">
        <f>+G693-E693</f>
        <v>38</v>
      </c>
      <c r="I693" s="6">
        <f>G693-F693</f>
        <v>-18</v>
      </c>
      <c r="J693" s="2" t="s">
        <v>31</v>
      </c>
    </row>
    <row r="694" spans="1:12" x14ac:dyDescent="0.25">
      <c r="A694" s="3">
        <v>41077</v>
      </c>
      <c r="B694" s="2" t="s">
        <v>44</v>
      </c>
      <c r="C694" t="s">
        <v>50</v>
      </c>
      <c r="D694" t="s">
        <v>209</v>
      </c>
      <c r="E694" s="2">
        <v>45839</v>
      </c>
      <c r="F694" s="2" cm="1">
        <f t="array" ref="F694">_xlfn.IFS(B694="Owner Surrender",E694,B694="Stray",E694+6,B694="Stray w/identification",E694+11,B694="Bite",E694+10,B694="Other",E694+30,B694="BAS",E694+56,B694="Seized",E694)</f>
        <v>45895</v>
      </c>
      <c r="J694" s="2" t="s">
        <v>21</v>
      </c>
      <c r="L694" s="2" t="s">
        <v>104</v>
      </c>
    </row>
    <row r="695" spans="1:12" x14ac:dyDescent="0.25">
      <c r="A695" s="3">
        <v>41078</v>
      </c>
      <c r="B695" s="2" t="s">
        <v>44</v>
      </c>
      <c r="C695" t="s">
        <v>50</v>
      </c>
      <c r="D695" t="s">
        <v>209</v>
      </c>
      <c r="E695" s="2">
        <v>45839</v>
      </c>
      <c r="F695" s="2" cm="1">
        <f t="array" ref="F695">_xlfn.IFS(B695="Owner Surrender",E695,B695="Stray",E695+6,B695="Stray w/identification",E695+11,B695="Bite",E695+10,B695="Other",E695+30,B695="BAS",E695+56,B695="Seized",E695)</f>
        <v>45895</v>
      </c>
      <c r="J695" s="2" t="s">
        <v>21</v>
      </c>
      <c r="L695" s="2" t="s">
        <v>104</v>
      </c>
    </row>
    <row r="696" spans="1:12" x14ac:dyDescent="0.25">
      <c r="A696" s="3">
        <v>41079</v>
      </c>
      <c r="B696" s="2" t="s">
        <v>44</v>
      </c>
      <c r="C696" t="s">
        <v>50</v>
      </c>
      <c r="D696" t="s">
        <v>209</v>
      </c>
      <c r="E696" s="2">
        <v>45839</v>
      </c>
      <c r="F696" s="2" cm="1">
        <f t="array" ref="F696">_xlfn.IFS(B696="Owner Surrender",E696,B696="Stray",E696+6,B696="Stray w/identification",E696+11,B696="Bite",E696+10,B696="Other",E696+30,B696="BAS",E696+56,B696="Seized",E696)</f>
        <v>45895</v>
      </c>
      <c r="J696" s="2" t="s">
        <v>21</v>
      </c>
      <c r="L696" s="2" t="s">
        <v>104</v>
      </c>
    </row>
    <row r="697" spans="1:12" x14ac:dyDescent="0.25">
      <c r="A697" s="3">
        <v>41080</v>
      </c>
      <c r="B697" s="2" t="s">
        <v>44</v>
      </c>
      <c r="C697" t="s">
        <v>50</v>
      </c>
      <c r="D697" t="s">
        <v>209</v>
      </c>
      <c r="E697" s="2">
        <v>45839</v>
      </c>
      <c r="F697" s="2" cm="1">
        <f t="array" ref="F697">_xlfn.IFS(B697="Owner Surrender",E697,B697="Stray",E697+6,B697="Stray w/identification",E697+11,B697="Bite",E697+10,B697="Other",E697+30,B697="BAS",E697+56,B697="Seized",E697)</f>
        <v>45895</v>
      </c>
      <c r="G697" s="2">
        <v>45877</v>
      </c>
      <c r="H697" s="6">
        <f t="shared" ref="H697:H728" si="26">+G697-E697</f>
        <v>38</v>
      </c>
      <c r="I697" s="6">
        <f t="shared" ref="I697:I725" si="27">G697-F697</f>
        <v>-18</v>
      </c>
      <c r="J697" s="2" t="s">
        <v>31</v>
      </c>
    </row>
    <row r="698" spans="1:12" x14ac:dyDescent="0.25">
      <c r="A698" s="3">
        <v>41081</v>
      </c>
      <c r="B698" s="2" t="s">
        <v>44</v>
      </c>
      <c r="C698" t="s">
        <v>50</v>
      </c>
      <c r="D698" t="s">
        <v>209</v>
      </c>
      <c r="E698" s="2">
        <v>45839</v>
      </c>
      <c r="F698" s="2" cm="1">
        <f t="array" ref="F698">_xlfn.IFS(B698="Owner Surrender",E698,B698="Stray",E698+6,B698="Stray w/identification",E698+11,B698="Bite",E698+10,B698="Other",E698+30,B698="BAS",E698+56,B698="Seized",E698)</f>
        <v>45895</v>
      </c>
      <c r="G698" s="2">
        <v>45877</v>
      </c>
      <c r="H698" s="6">
        <f t="shared" si="26"/>
        <v>38</v>
      </c>
      <c r="I698" s="6">
        <f t="shared" si="27"/>
        <v>-18</v>
      </c>
      <c r="J698" s="2" t="s">
        <v>31</v>
      </c>
    </row>
    <row r="699" spans="1:12" x14ac:dyDescent="0.25">
      <c r="A699" s="3">
        <v>41082</v>
      </c>
      <c r="B699" s="2" t="s">
        <v>44</v>
      </c>
      <c r="C699" t="s">
        <v>50</v>
      </c>
      <c r="D699" t="s">
        <v>209</v>
      </c>
      <c r="E699" s="2">
        <v>45839</v>
      </c>
      <c r="F699" s="2" cm="1">
        <f t="array" ref="F699">_xlfn.IFS(B699="Owner Surrender",E699,B699="Stray",E699+6,B699="Stray w/identification",E699+11,B699="Bite",E699+10,B699="Other",E699+30,B699="BAS",E699+56,B699="Seized",E699)</f>
        <v>45895</v>
      </c>
      <c r="G699" s="2">
        <v>45877</v>
      </c>
      <c r="H699" s="6">
        <f t="shared" si="26"/>
        <v>38</v>
      </c>
      <c r="I699" s="6">
        <f t="shared" si="27"/>
        <v>-18</v>
      </c>
      <c r="J699" s="2" t="s">
        <v>31</v>
      </c>
    </row>
    <row r="700" spans="1:12" x14ac:dyDescent="0.25">
      <c r="A700" s="3">
        <v>41083</v>
      </c>
      <c r="B700" s="2" t="s">
        <v>44</v>
      </c>
      <c r="C700" t="s">
        <v>50</v>
      </c>
      <c r="D700" t="s">
        <v>209</v>
      </c>
      <c r="E700" s="2">
        <v>45839</v>
      </c>
      <c r="F700" s="2" cm="1">
        <f t="array" ref="F700">_xlfn.IFS(B700="Owner Surrender",E700,B700="Stray",E700+6,B700="Stray w/identification",E700+11,B700="Bite",E700+10,B700="Other",E700+30,B700="BAS",E700+56,B700="Seized",E700)</f>
        <v>45895</v>
      </c>
      <c r="G700" s="2">
        <v>45865</v>
      </c>
      <c r="H700" s="6">
        <f t="shared" si="26"/>
        <v>26</v>
      </c>
      <c r="I700" s="6">
        <f t="shared" si="27"/>
        <v>-30</v>
      </c>
      <c r="J700" s="2" t="s">
        <v>31</v>
      </c>
    </row>
    <row r="701" spans="1:12" x14ac:dyDescent="0.25">
      <c r="A701" s="3">
        <v>41085</v>
      </c>
      <c r="B701" s="2" t="s">
        <v>38</v>
      </c>
      <c r="C701" t="s">
        <v>49</v>
      </c>
      <c r="D701" t="s">
        <v>208</v>
      </c>
      <c r="E701" s="2">
        <v>45840</v>
      </c>
      <c r="F701" s="2" cm="1">
        <f t="array" ref="F701">_xlfn.IFS(B701="Owner Surrender",E701,B701="Stray",E701+6,B701="Stray w/identification",E701+11,B701="Bite",E701+10,B701="Other",E701+30,B701="BAS",E701+56,B701="Seized",E701)</f>
        <v>45846</v>
      </c>
      <c r="G701" s="2">
        <v>45852</v>
      </c>
      <c r="H701" s="6">
        <f t="shared" si="26"/>
        <v>12</v>
      </c>
      <c r="I701" s="6">
        <f t="shared" si="27"/>
        <v>6</v>
      </c>
      <c r="J701" s="2" t="s">
        <v>31</v>
      </c>
    </row>
    <row r="702" spans="1:12" x14ac:dyDescent="0.25">
      <c r="A702" s="3">
        <v>41087</v>
      </c>
      <c r="B702" s="2" t="s">
        <v>36</v>
      </c>
      <c r="C702" t="s">
        <v>49</v>
      </c>
      <c r="D702" t="s">
        <v>210</v>
      </c>
      <c r="E702" s="2">
        <v>45840</v>
      </c>
      <c r="F702" s="2" cm="1">
        <f t="array" ref="F702">_xlfn.IFS(B702="Owner Surrender",E702,B702="Stray",E702+6,B702="Stray w/identification",E702+11,B702="Bite",E702+10,B702="Other",E702+30,B702="BAS",E702+56,B702="Seized",E702)</f>
        <v>45840</v>
      </c>
      <c r="G702" s="2">
        <v>45841</v>
      </c>
      <c r="H702" s="6">
        <f t="shared" si="26"/>
        <v>1</v>
      </c>
      <c r="I702" s="6">
        <f t="shared" si="27"/>
        <v>1</v>
      </c>
      <c r="J702" s="2" t="s">
        <v>31</v>
      </c>
      <c r="K702" s="2" t="s">
        <v>74</v>
      </c>
    </row>
    <row r="703" spans="1:12" x14ac:dyDescent="0.25">
      <c r="A703" s="3">
        <v>41088</v>
      </c>
      <c r="B703" s="2" t="s">
        <v>36</v>
      </c>
      <c r="C703" t="s">
        <v>49</v>
      </c>
      <c r="D703" t="s">
        <v>210</v>
      </c>
      <c r="E703" s="2">
        <v>45840</v>
      </c>
      <c r="F703" s="2" cm="1">
        <f t="array" ref="F703">_xlfn.IFS(B703="Owner Surrender",E703,B703="Stray",E703+6,B703="Stray w/identification",E703+11,B703="Bite",E703+10,B703="Other",E703+30,B703="BAS",E703+56,B703="Seized",E703)</f>
        <v>45840</v>
      </c>
      <c r="G703" s="2">
        <v>45841</v>
      </c>
      <c r="H703" s="6">
        <f t="shared" si="26"/>
        <v>1</v>
      </c>
      <c r="I703" s="6">
        <f t="shared" si="27"/>
        <v>1</v>
      </c>
      <c r="J703" s="2" t="s">
        <v>31</v>
      </c>
      <c r="K703" s="2" t="s">
        <v>75</v>
      </c>
    </row>
    <row r="704" spans="1:12" x14ac:dyDescent="0.25">
      <c r="A704" s="3">
        <v>41089</v>
      </c>
      <c r="B704" s="2" t="s">
        <v>36</v>
      </c>
      <c r="C704" t="s">
        <v>57</v>
      </c>
      <c r="D704" t="s">
        <v>209</v>
      </c>
      <c r="E704" s="2">
        <v>45840</v>
      </c>
      <c r="F704" s="2" cm="1">
        <f t="array" ref="F704">_xlfn.IFS(B704="Owner Surrender",E704,B704="Stray",E704+6,B704="Stray w/identification",E704+11,B704="Bite",E704+10,B704="Other",E704+30,B704="BAS",E704+56,B704="Seized",E704)</f>
        <v>45840</v>
      </c>
      <c r="G704" s="2">
        <v>45846</v>
      </c>
      <c r="H704" s="6">
        <f t="shared" si="26"/>
        <v>6</v>
      </c>
      <c r="I704" s="6">
        <f t="shared" si="27"/>
        <v>6</v>
      </c>
      <c r="J704" s="2" t="s">
        <v>31</v>
      </c>
      <c r="L704" t="s">
        <v>67</v>
      </c>
    </row>
    <row r="705" spans="1:12" x14ac:dyDescent="0.25">
      <c r="A705" s="3">
        <v>41093</v>
      </c>
      <c r="B705" s="2" t="s">
        <v>180</v>
      </c>
      <c r="C705" t="s">
        <v>96</v>
      </c>
      <c r="D705" t="s">
        <v>208</v>
      </c>
      <c r="E705" s="2">
        <v>45840</v>
      </c>
      <c r="F705" s="2" cm="1">
        <f t="array" ref="F705">_xlfn.IFS(B705="Owner Surrender",E705,B705="Stray",E705+6,B705="Stray w/identification",E705+11,B705="Bite",E705+10,B705="Other",E705+30,B705="BAS",E705+56,B705="Seized",E705)</f>
        <v>45851</v>
      </c>
      <c r="G705" s="2">
        <v>45852</v>
      </c>
      <c r="H705" s="6">
        <f t="shared" si="26"/>
        <v>12</v>
      </c>
      <c r="I705" s="6">
        <f t="shared" si="27"/>
        <v>1</v>
      </c>
      <c r="J705" s="2" t="s">
        <v>31</v>
      </c>
      <c r="K705" s="2" t="s">
        <v>97</v>
      </c>
      <c r="L705" t="s">
        <v>194</v>
      </c>
    </row>
    <row r="706" spans="1:12" x14ac:dyDescent="0.25">
      <c r="A706" s="3">
        <v>41110</v>
      </c>
      <c r="B706" s="2" t="s">
        <v>36</v>
      </c>
      <c r="C706" t="s">
        <v>88</v>
      </c>
      <c r="D706" t="s">
        <v>208</v>
      </c>
      <c r="E706" s="2">
        <v>45841</v>
      </c>
      <c r="F706" s="2" cm="1">
        <f t="array" ref="F706">_xlfn.IFS(B706="Owner Surrender",E706,B706="Stray",E706+6,B706="Stray w/identification",E706+11,B706="Bite",E706+10,B706="Other",E706+30,B706="BAS",E706+56,B706="Seized",E706)</f>
        <v>45841</v>
      </c>
      <c r="G706" s="2">
        <v>45859</v>
      </c>
      <c r="H706" s="6">
        <f t="shared" si="26"/>
        <v>18</v>
      </c>
      <c r="I706" s="6">
        <f t="shared" si="27"/>
        <v>18</v>
      </c>
      <c r="J706" s="2" t="s">
        <v>18</v>
      </c>
      <c r="L706" t="s">
        <v>85</v>
      </c>
    </row>
    <row r="707" spans="1:12" x14ac:dyDescent="0.25">
      <c r="A707" s="3">
        <v>41111</v>
      </c>
      <c r="B707" s="2" t="s">
        <v>36</v>
      </c>
      <c r="C707" t="s">
        <v>49</v>
      </c>
      <c r="D707" t="s">
        <v>208</v>
      </c>
      <c r="E707" s="2">
        <v>45841</v>
      </c>
      <c r="F707" s="2" cm="1">
        <f t="array" ref="F707">_xlfn.IFS(B707="Owner Surrender",E707,B707="Stray",E707+6,B707="Stray w/identification",E707+11,B707="Bite",E707+10,B707="Other",E707+30,B707="BAS",E707+56,B707="Seized",E707)</f>
        <v>45841</v>
      </c>
      <c r="G707" s="2">
        <v>45846</v>
      </c>
      <c r="H707" s="6">
        <f t="shared" si="26"/>
        <v>5</v>
      </c>
      <c r="I707" s="6">
        <f t="shared" si="27"/>
        <v>5</v>
      </c>
      <c r="J707" s="2" t="s">
        <v>31</v>
      </c>
      <c r="K707" s="2" t="s">
        <v>68</v>
      </c>
    </row>
    <row r="708" spans="1:12" x14ac:dyDescent="0.25">
      <c r="A708" s="3">
        <v>41112</v>
      </c>
      <c r="B708" s="2" t="s">
        <v>36</v>
      </c>
      <c r="C708" t="s">
        <v>96</v>
      </c>
      <c r="D708" t="s">
        <v>208</v>
      </c>
      <c r="E708" s="2">
        <v>45841</v>
      </c>
      <c r="F708" s="2" cm="1">
        <f t="array" ref="F708">_xlfn.IFS(B708="Owner Surrender",E708,B708="Stray",E708+6,B708="Stray w/identification",E708+11,B708="Bite",E708+10,B708="Other",E708+30,B708="BAS",E708+56,B708="Seized",E708)</f>
        <v>45841</v>
      </c>
      <c r="G708" s="2">
        <v>45843</v>
      </c>
      <c r="H708" s="6">
        <f t="shared" si="26"/>
        <v>2</v>
      </c>
      <c r="I708" s="6">
        <f t="shared" si="27"/>
        <v>2</v>
      </c>
      <c r="J708" s="2" t="s">
        <v>18</v>
      </c>
      <c r="K708" s="2" t="s">
        <v>97</v>
      </c>
      <c r="L708" s="2" t="s">
        <v>98</v>
      </c>
    </row>
    <row r="709" spans="1:12" x14ac:dyDescent="0.25">
      <c r="A709" s="3">
        <v>41113</v>
      </c>
      <c r="B709" s="2" t="s">
        <v>180</v>
      </c>
      <c r="C709" t="s">
        <v>126</v>
      </c>
      <c r="D709" t="s">
        <v>209</v>
      </c>
      <c r="E709" s="2">
        <v>45841</v>
      </c>
      <c r="F709" s="2" cm="1">
        <f t="array" ref="F709">_xlfn.IFS(B709="Owner Surrender",E709,B709="Stray",E709+6,B709="Stray w/identification",E709+11,B709="Bite",E709+10,B709="Other",E709+30,B709="BAS",E709+56,B709="Seized",E709)</f>
        <v>45852</v>
      </c>
      <c r="G709" s="2">
        <v>45861</v>
      </c>
      <c r="H709" s="6">
        <f t="shared" si="26"/>
        <v>20</v>
      </c>
      <c r="I709" s="6">
        <f t="shared" si="27"/>
        <v>9</v>
      </c>
      <c r="J709" s="2" t="s">
        <v>31</v>
      </c>
    </row>
    <row r="710" spans="1:12" x14ac:dyDescent="0.25">
      <c r="A710" s="3">
        <v>41114</v>
      </c>
      <c r="B710" s="2" t="s">
        <v>36</v>
      </c>
      <c r="C710" t="s">
        <v>49</v>
      </c>
      <c r="D710" t="s">
        <v>208</v>
      </c>
      <c r="E710" s="2">
        <v>45841</v>
      </c>
      <c r="F710" s="2" cm="1">
        <f t="array" ref="F710">_xlfn.IFS(B710="Owner Surrender",E710,B710="Stray",E710+6,B710="Stray w/identification",E710+11,B710="Bite",E710+10,B710="Other",E710+30,B710="BAS",E710+56,B710="Seized",E710)</f>
        <v>45841</v>
      </c>
      <c r="G710" s="2">
        <v>45841</v>
      </c>
      <c r="H710" s="6">
        <f t="shared" si="26"/>
        <v>0</v>
      </c>
      <c r="I710" s="6">
        <f t="shared" si="27"/>
        <v>0</v>
      </c>
      <c r="J710" s="2" t="s">
        <v>18</v>
      </c>
      <c r="K710" s="2" t="s">
        <v>94</v>
      </c>
      <c r="L710" s="2" t="s">
        <v>95</v>
      </c>
    </row>
    <row r="711" spans="1:12" x14ac:dyDescent="0.25">
      <c r="A711" s="3">
        <v>41117</v>
      </c>
      <c r="B711" s="2" t="s">
        <v>38</v>
      </c>
      <c r="C711" t="s">
        <v>90</v>
      </c>
      <c r="D711" t="s">
        <v>208</v>
      </c>
      <c r="E711" s="2">
        <v>45841</v>
      </c>
      <c r="F711" s="2" cm="1">
        <f t="array" ref="F711">_xlfn.IFS(B711="Owner Surrender",E711,B711="Stray",E711+6,B711="Stray w/identification",E711+11,B711="Bite",E711+10,B711="Other",E711+30,B711="BAS",E711+56,B711="Seized",E711)</f>
        <v>45847</v>
      </c>
      <c r="G711" s="2">
        <v>45849</v>
      </c>
      <c r="H711" s="6">
        <f t="shared" si="26"/>
        <v>8</v>
      </c>
      <c r="I711" s="6">
        <f t="shared" si="27"/>
        <v>2</v>
      </c>
      <c r="J711" s="2" t="s">
        <v>18</v>
      </c>
      <c r="L711" t="s">
        <v>19</v>
      </c>
    </row>
    <row r="712" spans="1:12" x14ac:dyDescent="0.25">
      <c r="A712" s="3">
        <v>41118</v>
      </c>
      <c r="B712" s="2" t="s">
        <v>38</v>
      </c>
      <c r="C712" t="s">
        <v>90</v>
      </c>
      <c r="D712" t="s">
        <v>208</v>
      </c>
      <c r="E712" s="2">
        <v>45841</v>
      </c>
      <c r="F712" s="2" cm="1">
        <f t="array" ref="F712">_xlfn.IFS(B712="Owner Surrender",E712,B712="Stray",E712+6,B712="Stray w/identification",E712+11,B712="Bite",E712+10,B712="Other",E712+30,B712="BAS",E712+56,B712="Seized",E712)</f>
        <v>45847</v>
      </c>
      <c r="G712" s="2">
        <v>45849</v>
      </c>
      <c r="H712" s="6">
        <f t="shared" si="26"/>
        <v>8</v>
      </c>
      <c r="I712" s="6">
        <f t="shared" si="27"/>
        <v>2</v>
      </c>
      <c r="J712" s="2" t="s">
        <v>18</v>
      </c>
      <c r="L712" t="s">
        <v>19</v>
      </c>
    </row>
    <row r="713" spans="1:12" x14ac:dyDescent="0.25">
      <c r="A713" s="3">
        <v>41123</v>
      </c>
      <c r="B713" s="2" t="s">
        <v>36</v>
      </c>
      <c r="C713" t="s">
        <v>130</v>
      </c>
      <c r="D713" t="s">
        <v>208</v>
      </c>
      <c r="E713" s="2">
        <v>45843</v>
      </c>
      <c r="F713" s="2" cm="1">
        <f t="array" ref="F713">_xlfn.IFS(B713="Owner Surrender",E713,B713="Stray",E713+6,B713="Stray w/identification",E713+11,B713="Bite",E713+10,B713="Other",E713+30,B713="BAS",E713+56,B713="Seized",E713)</f>
        <v>45843</v>
      </c>
      <c r="G713" s="2">
        <v>45848</v>
      </c>
      <c r="H713" s="6">
        <f t="shared" si="26"/>
        <v>5</v>
      </c>
      <c r="I713" s="6">
        <f t="shared" si="27"/>
        <v>5</v>
      </c>
      <c r="J713" s="2" t="s">
        <v>31</v>
      </c>
    </row>
    <row r="714" spans="1:12" x14ac:dyDescent="0.25">
      <c r="A714" s="3">
        <v>41126</v>
      </c>
      <c r="B714" s="2" t="s">
        <v>36</v>
      </c>
      <c r="C714" t="s">
        <v>55</v>
      </c>
      <c r="D714" t="s">
        <v>208</v>
      </c>
      <c r="E714" s="2">
        <v>45843</v>
      </c>
      <c r="F714" s="2" cm="1">
        <f t="array" ref="F714">_xlfn.IFS(B714="Owner Surrender",E714,B714="Stray",E714+6,B714="Stray w/identification",E714+11,B714="Bite",E714+10,B714="Other",E714+30,B714="BAS",E714+56,B714="Seized",E714)</f>
        <v>45843</v>
      </c>
      <c r="G714" s="2">
        <v>45853</v>
      </c>
      <c r="H714" s="6">
        <f t="shared" si="26"/>
        <v>10</v>
      </c>
      <c r="I714" s="6">
        <f t="shared" si="27"/>
        <v>10</v>
      </c>
      <c r="J714" s="2" t="s">
        <v>11</v>
      </c>
    </row>
    <row r="715" spans="1:12" x14ac:dyDescent="0.25">
      <c r="A715" s="3">
        <v>41128</v>
      </c>
      <c r="B715" s="2" t="s">
        <v>42</v>
      </c>
      <c r="C715" t="s">
        <v>49</v>
      </c>
      <c r="D715" t="s">
        <v>208</v>
      </c>
      <c r="E715" s="2">
        <v>45844</v>
      </c>
      <c r="F715" s="2" cm="1">
        <f t="array" ref="F715">_xlfn.IFS(B715="Owner Surrender",E715,B715="Stray",E715+6,B715="Stray w/identification",E715+11,B715="Bite",E715+10,B715="Other",E715+30,B715="BAS",E715+56,B715="Seized",E715)</f>
        <v>45854</v>
      </c>
      <c r="G715" s="2">
        <v>45854</v>
      </c>
      <c r="H715" s="6">
        <f t="shared" si="26"/>
        <v>10</v>
      </c>
      <c r="I715" s="6">
        <f t="shared" si="27"/>
        <v>0</v>
      </c>
      <c r="J715" s="2" t="s">
        <v>8</v>
      </c>
    </row>
    <row r="716" spans="1:12" x14ac:dyDescent="0.25">
      <c r="A716" s="3">
        <v>41130</v>
      </c>
      <c r="B716" s="2" t="s">
        <v>180</v>
      </c>
      <c r="C716" t="s">
        <v>108</v>
      </c>
      <c r="D716" t="s">
        <v>208</v>
      </c>
      <c r="E716" s="2">
        <v>45844</v>
      </c>
      <c r="F716" s="2" cm="1">
        <f t="array" ref="F716">_xlfn.IFS(B716="Owner Surrender",E716,B716="Stray",E716+6,B716="Stray w/identification",E716+11,B716="Bite",E716+10,B716="Other",E716+30,B716="BAS",E716+56,B716="Seized",E716)</f>
        <v>45855</v>
      </c>
      <c r="G716" s="2">
        <v>45849</v>
      </c>
      <c r="H716" s="6">
        <f t="shared" si="26"/>
        <v>5</v>
      </c>
      <c r="I716" s="6">
        <f t="shared" si="27"/>
        <v>-6</v>
      </c>
      <c r="J716" s="2" t="s">
        <v>8</v>
      </c>
    </row>
    <row r="717" spans="1:12" x14ac:dyDescent="0.25">
      <c r="A717" s="3">
        <v>41131</v>
      </c>
      <c r="B717" s="2" t="s">
        <v>42</v>
      </c>
      <c r="C717" t="s">
        <v>84</v>
      </c>
      <c r="D717" t="s">
        <v>208</v>
      </c>
      <c r="E717" s="2">
        <v>45845</v>
      </c>
      <c r="F717" s="2" cm="1">
        <f t="array" ref="F717">_xlfn.IFS(B717="Owner Surrender",E717,B717="Stray",E717+6,B717="Stray w/identification",E717+11,B717="Bite",E717+10,B717="Other",E717+30,B717="BAS",E717+56,B717="Seized",E717)</f>
        <v>45855</v>
      </c>
      <c r="G717" s="2">
        <v>45881</v>
      </c>
      <c r="H717" s="6">
        <f t="shared" si="26"/>
        <v>36</v>
      </c>
      <c r="I717" s="6">
        <f t="shared" si="27"/>
        <v>26</v>
      </c>
      <c r="J717" s="2" t="s">
        <v>8</v>
      </c>
    </row>
    <row r="718" spans="1:12" x14ac:dyDescent="0.25">
      <c r="A718" s="3">
        <v>41136</v>
      </c>
      <c r="B718" s="2" t="s">
        <v>180</v>
      </c>
      <c r="C718" t="s">
        <v>49</v>
      </c>
      <c r="D718" t="s">
        <v>208</v>
      </c>
      <c r="E718" s="2">
        <v>45845</v>
      </c>
      <c r="F718" s="2" cm="1">
        <f t="array" ref="F718">_xlfn.IFS(B718="Owner Surrender",E718,B718="Stray",E718+6,B718="Stray w/identification",E718+11,B718="Bite",E718+10,B718="Other",E718+30,B718="BAS",E718+56,B718="Seized",E718)</f>
        <v>45856</v>
      </c>
      <c r="G718" s="2">
        <v>45852</v>
      </c>
      <c r="H718" s="6">
        <f t="shared" si="26"/>
        <v>7</v>
      </c>
      <c r="I718" s="6">
        <f t="shared" si="27"/>
        <v>-4</v>
      </c>
      <c r="J718" s="2" t="s">
        <v>31</v>
      </c>
      <c r="L718" t="s">
        <v>195</v>
      </c>
    </row>
    <row r="719" spans="1:12" x14ac:dyDescent="0.25">
      <c r="A719" s="3">
        <v>41139</v>
      </c>
      <c r="B719" s="2" t="s">
        <v>38</v>
      </c>
      <c r="C719" t="s">
        <v>49</v>
      </c>
      <c r="D719" t="s">
        <v>208</v>
      </c>
      <c r="E719" s="2">
        <v>45845</v>
      </c>
      <c r="F719" s="2" cm="1">
        <f t="array" ref="F719">_xlfn.IFS(B719="Owner Surrender",E719,B719="Stray",E719+6,B719="Stray w/identification",E719+11,B719="Bite",E719+10,B719="Other",E719+30,B719="BAS",E719+56,B719="Seized",E719)</f>
        <v>45851</v>
      </c>
      <c r="G719" s="2">
        <v>45852</v>
      </c>
      <c r="H719" s="6">
        <f t="shared" si="26"/>
        <v>7</v>
      </c>
      <c r="I719" s="6">
        <f t="shared" si="27"/>
        <v>1</v>
      </c>
      <c r="J719" s="2" t="s">
        <v>31</v>
      </c>
    </row>
    <row r="720" spans="1:12" x14ac:dyDescent="0.25">
      <c r="A720" s="3">
        <v>41140</v>
      </c>
      <c r="B720" s="2" t="s">
        <v>38</v>
      </c>
      <c r="C720" t="s">
        <v>50</v>
      </c>
      <c r="D720" t="s">
        <v>208</v>
      </c>
      <c r="E720" s="2">
        <v>45845</v>
      </c>
      <c r="F720" s="2" cm="1">
        <f t="array" ref="F720">_xlfn.IFS(B720="Owner Surrender",E720,B720="Stray",E720+6,B720="Stray w/identification",E720+11,B720="Bite",E720+10,B720="Other",E720+30,B720="BAS",E720+56,B720="Seized",E720)</f>
        <v>45851</v>
      </c>
      <c r="G720" s="2">
        <v>45852</v>
      </c>
      <c r="H720" s="6">
        <f t="shared" si="26"/>
        <v>7</v>
      </c>
      <c r="I720" s="6">
        <f t="shared" si="27"/>
        <v>1</v>
      </c>
      <c r="J720" s="2" t="s">
        <v>31</v>
      </c>
    </row>
    <row r="721" spans="1:12" x14ac:dyDescent="0.25">
      <c r="A721" s="3">
        <v>41141</v>
      </c>
      <c r="B721" s="2" t="s">
        <v>38</v>
      </c>
      <c r="C721" t="s">
        <v>49</v>
      </c>
      <c r="D721" t="s">
        <v>209</v>
      </c>
      <c r="E721" s="2">
        <v>45845</v>
      </c>
      <c r="F721" s="2" cm="1">
        <f t="array" ref="F721">_xlfn.IFS(B721="Owner Surrender",E721,B721="Stray",E721+6,B721="Stray w/identification",E721+11,B721="Bite",E721+10,B721="Other",E721+30,B721="BAS",E721+56,B721="Seized",E721)</f>
        <v>45851</v>
      </c>
      <c r="G721" s="2">
        <v>45846</v>
      </c>
      <c r="H721" s="6">
        <f t="shared" si="26"/>
        <v>1</v>
      </c>
      <c r="I721" s="6">
        <f t="shared" si="27"/>
        <v>-5</v>
      </c>
      <c r="J721" s="2" t="s">
        <v>31</v>
      </c>
      <c r="L721" t="s">
        <v>67</v>
      </c>
    </row>
    <row r="722" spans="1:12" x14ac:dyDescent="0.25">
      <c r="A722" s="3">
        <v>41142</v>
      </c>
      <c r="B722" s="2" t="s">
        <v>38</v>
      </c>
      <c r="C722" t="s">
        <v>49</v>
      </c>
      <c r="D722" t="s">
        <v>209</v>
      </c>
      <c r="E722" s="2">
        <v>45845</v>
      </c>
      <c r="F722" s="2" cm="1">
        <f t="array" ref="F722">_xlfn.IFS(B722="Owner Surrender",E722,B722="Stray",E722+6,B722="Stray w/identification",E722+11,B722="Bite",E722+10,B722="Other",E722+30,B722="BAS",E722+56,B722="Seized",E722)</f>
        <v>45851</v>
      </c>
      <c r="G722" s="2">
        <v>45846</v>
      </c>
      <c r="H722" s="6">
        <f t="shared" si="26"/>
        <v>1</v>
      </c>
      <c r="I722" s="6">
        <f t="shared" si="27"/>
        <v>-5</v>
      </c>
      <c r="J722" s="2" t="s">
        <v>31</v>
      </c>
      <c r="L722" t="s">
        <v>67</v>
      </c>
    </row>
    <row r="723" spans="1:12" x14ac:dyDescent="0.25">
      <c r="A723" s="3">
        <v>41143</v>
      </c>
      <c r="B723" s="2" t="s">
        <v>38</v>
      </c>
      <c r="C723" t="s">
        <v>49</v>
      </c>
      <c r="D723" t="s">
        <v>209</v>
      </c>
      <c r="E723" s="2">
        <v>45845</v>
      </c>
      <c r="F723" s="2" cm="1">
        <f t="array" ref="F723">_xlfn.IFS(B723="Owner Surrender",E723,B723="Stray",E723+6,B723="Stray w/identification",E723+11,B723="Bite",E723+10,B723="Other",E723+30,B723="BAS",E723+56,B723="Seized",E723)</f>
        <v>45851</v>
      </c>
      <c r="G723" s="2">
        <v>45845</v>
      </c>
      <c r="H723" s="6">
        <f t="shared" si="26"/>
        <v>0</v>
      </c>
      <c r="I723" s="6">
        <f t="shared" si="27"/>
        <v>-6</v>
      </c>
      <c r="J723" s="2" t="s">
        <v>31</v>
      </c>
      <c r="L723" t="s">
        <v>33</v>
      </c>
    </row>
    <row r="724" spans="1:12" x14ac:dyDescent="0.25">
      <c r="A724" s="3">
        <v>41144</v>
      </c>
      <c r="B724" s="2" t="s">
        <v>38</v>
      </c>
      <c r="C724" t="s">
        <v>49</v>
      </c>
      <c r="D724" t="s">
        <v>209</v>
      </c>
      <c r="E724" s="2">
        <v>45845</v>
      </c>
      <c r="F724" s="2" cm="1">
        <f t="array" ref="F724">_xlfn.IFS(B724="Owner Surrender",E724,B724="Stray",E724+6,B724="Stray w/identification",E724+11,B724="Bite",E724+10,B724="Other",E724+30,B724="BAS",E724+56,B724="Seized",E724)</f>
        <v>45851</v>
      </c>
      <c r="G724" s="2">
        <v>45846</v>
      </c>
      <c r="H724" s="6">
        <f t="shared" si="26"/>
        <v>1</v>
      </c>
      <c r="I724" s="6">
        <f t="shared" si="27"/>
        <v>-5</v>
      </c>
      <c r="J724" s="2" t="s">
        <v>31</v>
      </c>
      <c r="L724" t="s">
        <v>67</v>
      </c>
    </row>
    <row r="725" spans="1:12" x14ac:dyDescent="0.25">
      <c r="A725" s="3">
        <v>41145</v>
      </c>
      <c r="B725" s="2" t="s">
        <v>180</v>
      </c>
      <c r="C725" t="s">
        <v>90</v>
      </c>
      <c r="D725" t="s">
        <v>208</v>
      </c>
      <c r="E725" s="2">
        <v>45845</v>
      </c>
      <c r="F725" s="2" cm="1">
        <f t="array" ref="F725">_xlfn.IFS(B725="Owner Surrender",E725,B725="Stray",E725+6,B725="Stray w/identification",E725+11,B725="Bite",E725+10,B725="Other",E725+30,B725="BAS",E725+56,B725="Seized",E725)</f>
        <v>45856</v>
      </c>
      <c r="G725" s="2">
        <v>45848</v>
      </c>
      <c r="H725" s="6">
        <f t="shared" si="26"/>
        <v>3</v>
      </c>
      <c r="I725" s="6">
        <f t="shared" si="27"/>
        <v>-8</v>
      </c>
      <c r="J725" s="2" t="s">
        <v>8</v>
      </c>
    </row>
    <row r="726" spans="1:12" x14ac:dyDescent="0.25">
      <c r="A726" s="3">
        <v>41146</v>
      </c>
      <c r="B726" s="2" t="s">
        <v>61</v>
      </c>
      <c r="C726" t="s">
        <v>57</v>
      </c>
      <c r="D726" t="s">
        <v>208</v>
      </c>
      <c r="E726" s="2">
        <v>45845</v>
      </c>
      <c r="F726" s="2" cm="1">
        <f t="array" ref="F726">_xlfn.IFS(B726="Owner Surrender",E726,B726="Stray",E726+6,B726="Stray w/identification",E726+11,B726="Bite",E726+10,B726="Other",E726+30,B726="BAS",E726+56,B726="Seized",E726)</f>
        <v>45875</v>
      </c>
      <c r="G726" s="2">
        <v>45847</v>
      </c>
      <c r="H726" s="6">
        <f t="shared" si="26"/>
        <v>2</v>
      </c>
      <c r="J726" s="2" t="s">
        <v>8</v>
      </c>
    </row>
    <row r="727" spans="1:12" x14ac:dyDescent="0.25">
      <c r="A727" s="3">
        <v>41149</v>
      </c>
      <c r="B727" s="2" t="s">
        <v>38</v>
      </c>
      <c r="C727" t="s">
        <v>49</v>
      </c>
      <c r="D727" t="s">
        <v>208</v>
      </c>
      <c r="E727" s="2">
        <v>45844</v>
      </c>
      <c r="F727" s="2" cm="1">
        <f t="array" ref="F727">_xlfn.IFS(B727="Owner Surrender",E727,B727="Stray",E727+6,B727="Stray w/identification",E727+11,B727="Bite",E727+10,B727="Other",E727+30,B727="BAS",E727+56,B727="Seized",E727)</f>
        <v>45850</v>
      </c>
      <c r="G727" s="2">
        <v>45861</v>
      </c>
      <c r="H727" s="6">
        <f t="shared" si="26"/>
        <v>17</v>
      </c>
      <c r="I727" s="6">
        <f>G727-F727</f>
        <v>11</v>
      </c>
      <c r="J727" s="2" t="s">
        <v>31</v>
      </c>
      <c r="K727" s="2" t="s">
        <v>133</v>
      </c>
      <c r="L727" s="2" t="s">
        <v>134</v>
      </c>
    </row>
    <row r="728" spans="1:12" x14ac:dyDescent="0.25">
      <c r="A728" s="3">
        <v>41150</v>
      </c>
      <c r="B728" s="2" t="s">
        <v>180</v>
      </c>
      <c r="C728" t="s">
        <v>111</v>
      </c>
      <c r="D728" t="s">
        <v>208</v>
      </c>
      <c r="E728" s="2">
        <v>45845</v>
      </c>
      <c r="F728" s="2" cm="1">
        <f t="array" ref="F728">_xlfn.IFS(B728="Owner Surrender",E728,B728="Stray",E728+6,B728="Stray w/identification",E728+11,B728="Bite",E728+10,B728="Other",E728+30,B728="BAS",E728+56,B728="Seized",E728)</f>
        <v>45856</v>
      </c>
      <c r="G728" s="2">
        <v>45859</v>
      </c>
      <c r="H728" s="6">
        <f t="shared" si="26"/>
        <v>14</v>
      </c>
      <c r="I728" s="6">
        <f>G728-F728</f>
        <v>3</v>
      </c>
      <c r="J728" s="2" t="s">
        <v>8</v>
      </c>
    </row>
    <row r="729" spans="1:12" x14ac:dyDescent="0.25">
      <c r="A729" s="3">
        <v>41156</v>
      </c>
      <c r="B729" s="2" t="s">
        <v>36</v>
      </c>
      <c r="C729" t="s">
        <v>135</v>
      </c>
      <c r="D729" t="s">
        <v>210</v>
      </c>
      <c r="E729" s="2">
        <v>45846</v>
      </c>
      <c r="F729" s="2" cm="1">
        <f t="array" ref="F729">_xlfn.IFS(B729="Owner Surrender",E729,B729="Stray",E729+6,B729="Stray w/identification",E729+11,B729="Bite",E729+10,B729="Other",E729+30,B729="BAS",E729+56,B729="Seized",E729)</f>
        <v>45846</v>
      </c>
      <c r="G729" s="2">
        <v>45848</v>
      </c>
      <c r="J729" s="2" t="s">
        <v>31</v>
      </c>
      <c r="K729" s="2" t="s">
        <v>136</v>
      </c>
    </row>
    <row r="730" spans="1:12" x14ac:dyDescent="0.25">
      <c r="A730" s="3">
        <v>41157</v>
      </c>
      <c r="B730" s="2" t="s">
        <v>36</v>
      </c>
      <c r="C730" t="s">
        <v>88</v>
      </c>
      <c r="D730" t="s">
        <v>208</v>
      </c>
      <c r="E730" s="2">
        <v>45846</v>
      </c>
      <c r="F730" s="2" cm="1">
        <f t="array" ref="F730">_xlfn.IFS(B730="Owner Surrender",E730,B730="Stray",E730+6,B730="Stray w/identification",E730+11,B730="Bite",E730+10,B730="Other",E730+30,B730="BAS",E730+56,B730="Seized",E730)</f>
        <v>45846</v>
      </c>
      <c r="G730" s="2">
        <v>45848</v>
      </c>
      <c r="H730" s="6">
        <f t="shared" ref="H730:H766" si="28">+G730-E730</f>
        <v>2</v>
      </c>
      <c r="I730" s="6">
        <f t="shared" ref="I730:I757" si="29">G730-F730</f>
        <v>2</v>
      </c>
      <c r="J730" s="2" t="s">
        <v>31</v>
      </c>
      <c r="K730" s="2" t="s">
        <v>137</v>
      </c>
    </row>
    <row r="731" spans="1:12" x14ac:dyDescent="0.25">
      <c r="A731" s="3">
        <v>41159</v>
      </c>
      <c r="B731" s="2" t="s">
        <v>36</v>
      </c>
      <c r="C731" t="s">
        <v>96</v>
      </c>
      <c r="D731" t="s">
        <v>209</v>
      </c>
      <c r="E731" s="2">
        <v>45846</v>
      </c>
      <c r="F731" s="2" cm="1">
        <f t="array" ref="F731">_xlfn.IFS(B731="Owner Surrender",E731,B731="Stray",E731+6,B731="Stray w/identification",E731+11,B731="Bite",E731+10,B731="Other",E731+30,B731="BAS",E731+56,B731="Seized",E731)</f>
        <v>45846</v>
      </c>
      <c r="G731" s="2">
        <v>45882</v>
      </c>
      <c r="H731" s="6">
        <f t="shared" si="28"/>
        <v>36</v>
      </c>
      <c r="I731" s="6">
        <f t="shared" si="29"/>
        <v>36</v>
      </c>
      <c r="J731" s="2" t="s">
        <v>31</v>
      </c>
      <c r="K731" s="2" t="s">
        <v>138</v>
      </c>
    </row>
    <row r="732" spans="1:12" x14ac:dyDescent="0.25">
      <c r="A732" s="3">
        <v>41165</v>
      </c>
      <c r="B732" s="2" t="s">
        <v>36</v>
      </c>
      <c r="C732" t="s">
        <v>49</v>
      </c>
      <c r="D732" t="s">
        <v>210</v>
      </c>
      <c r="E732" s="2">
        <v>45847</v>
      </c>
      <c r="F732" s="2" cm="1">
        <f t="array" ref="F732">_xlfn.IFS(B732="Owner Surrender",E732,B732="Stray",E732+6,B732="Stray w/identification",E732+11,B732="Bite",E732+10,B732="Other",E732+30,B732="BAS",E732+56,B732="Seized",E732)</f>
        <v>45847</v>
      </c>
      <c r="G732" s="2">
        <v>45849</v>
      </c>
      <c r="H732" s="6">
        <f t="shared" si="28"/>
        <v>2</v>
      </c>
      <c r="I732" s="6">
        <f t="shared" si="29"/>
        <v>2</v>
      </c>
      <c r="J732" s="2" t="s">
        <v>31</v>
      </c>
      <c r="K732" s="2" t="s">
        <v>139</v>
      </c>
    </row>
    <row r="733" spans="1:12" x14ac:dyDescent="0.25">
      <c r="A733" s="3">
        <v>41166</v>
      </c>
      <c r="B733" s="2" t="s">
        <v>180</v>
      </c>
      <c r="C733" t="s">
        <v>57</v>
      </c>
      <c r="D733" t="s">
        <v>208</v>
      </c>
      <c r="E733" s="2">
        <v>45847</v>
      </c>
      <c r="F733" s="2" cm="1">
        <f t="array" ref="F733">_xlfn.IFS(B733="Owner Surrender",E733,B733="Stray",E733+6,B733="Stray w/identification",E733+11,B733="Bite",E733+10,B733="Other",E733+30,B733="BAS",E733+56,B733="Seized",E733)</f>
        <v>45858</v>
      </c>
      <c r="G733" s="2">
        <v>45856</v>
      </c>
      <c r="H733" s="6">
        <f t="shared" si="28"/>
        <v>9</v>
      </c>
      <c r="I733" s="6">
        <f t="shared" si="29"/>
        <v>-2</v>
      </c>
      <c r="J733" s="2" t="s">
        <v>31</v>
      </c>
    </row>
    <row r="734" spans="1:12" x14ac:dyDescent="0.25">
      <c r="A734" s="3">
        <v>41170</v>
      </c>
      <c r="B734" s="2" t="s">
        <v>36</v>
      </c>
      <c r="C734" t="s">
        <v>49</v>
      </c>
      <c r="D734" t="s">
        <v>208</v>
      </c>
      <c r="E734" s="2">
        <v>45847</v>
      </c>
      <c r="F734" s="2" cm="1">
        <f t="array" ref="F734">_xlfn.IFS(B734="Owner Surrender",E734,B734="Stray",E734+6,B734="Stray w/identification",E734+11,B734="Bite",E734+10,B734="Other",E734+30,B734="BAS",E734+56,B734="Seized",E734)</f>
        <v>45847</v>
      </c>
      <c r="G734" s="2">
        <v>45852</v>
      </c>
      <c r="H734" s="6">
        <f t="shared" si="28"/>
        <v>5</v>
      </c>
      <c r="I734" s="6">
        <f t="shared" si="29"/>
        <v>5</v>
      </c>
      <c r="J734" s="2" t="s">
        <v>31</v>
      </c>
      <c r="K734" s="2" t="s">
        <v>140</v>
      </c>
    </row>
    <row r="735" spans="1:12" x14ac:dyDescent="0.25">
      <c r="A735" s="3">
        <v>41171</v>
      </c>
      <c r="B735" s="2" t="s">
        <v>36</v>
      </c>
      <c r="C735" t="s">
        <v>71</v>
      </c>
      <c r="D735" t="s">
        <v>208</v>
      </c>
      <c r="E735" s="2">
        <v>45847</v>
      </c>
      <c r="F735" s="2" cm="1">
        <f t="array" ref="F735">_xlfn.IFS(B735="Owner Surrender",E735,B735="Stray",E735+6,B735="Stray w/identification",E735+11,B735="Bite",E735+10,B735="Other",E735+30,B735="BAS",E735+56,B735="Seized",E735)</f>
        <v>45847</v>
      </c>
      <c r="G735" s="2">
        <v>45852</v>
      </c>
      <c r="H735" s="6">
        <f t="shared" si="28"/>
        <v>5</v>
      </c>
      <c r="I735" s="6">
        <f t="shared" si="29"/>
        <v>5</v>
      </c>
      <c r="J735" s="2" t="s">
        <v>31</v>
      </c>
    </row>
    <row r="736" spans="1:12" x14ac:dyDescent="0.25">
      <c r="A736" s="3">
        <v>41173</v>
      </c>
      <c r="B736" s="2" t="s">
        <v>36</v>
      </c>
      <c r="C736" t="s">
        <v>49</v>
      </c>
      <c r="D736" t="s">
        <v>208</v>
      </c>
      <c r="E736" s="2">
        <v>45847</v>
      </c>
      <c r="F736" s="2" cm="1">
        <f t="array" ref="F736">_xlfn.IFS(B736="Owner Surrender",E736,B736="Stray",E736+6,B736="Stray w/identification",E736+11,B736="Bite",E736+10,B736="Other",E736+30,B736="BAS",E736+56,B736="Seized",E736)</f>
        <v>45847</v>
      </c>
      <c r="G736" s="2">
        <v>45861</v>
      </c>
      <c r="H736" s="6">
        <f t="shared" si="28"/>
        <v>14</v>
      </c>
      <c r="I736" s="6">
        <f t="shared" si="29"/>
        <v>14</v>
      </c>
      <c r="J736" s="2" t="s">
        <v>31</v>
      </c>
      <c r="K736" s="2" t="s">
        <v>141</v>
      </c>
    </row>
    <row r="737" spans="1:12" x14ac:dyDescent="0.25">
      <c r="A737" s="3">
        <v>41174</v>
      </c>
      <c r="B737" s="2" t="s">
        <v>36</v>
      </c>
      <c r="C737" t="s">
        <v>142</v>
      </c>
      <c r="D737" t="s">
        <v>208</v>
      </c>
      <c r="E737" s="2">
        <v>45847</v>
      </c>
      <c r="F737" s="2" cm="1">
        <f t="array" ref="F737">_xlfn.IFS(B737="Owner Surrender",E737,B737="Stray",E737+6,B737="Stray w/identification",E737+11,B737="Bite",E737+10,B737="Other",E737+30,B737="BAS",E737+56,B737="Seized",E737)</f>
        <v>45847</v>
      </c>
      <c r="G737" s="2">
        <v>45852</v>
      </c>
      <c r="H737" s="6">
        <f t="shared" si="28"/>
        <v>5</v>
      </c>
      <c r="I737" s="6">
        <f t="shared" si="29"/>
        <v>5</v>
      </c>
      <c r="J737" s="2" t="s">
        <v>31</v>
      </c>
    </row>
    <row r="738" spans="1:12" x14ac:dyDescent="0.25">
      <c r="A738" s="3">
        <v>41175</v>
      </c>
      <c r="B738" s="2" t="s">
        <v>36</v>
      </c>
      <c r="C738" t="s">
        <v>96</v>
      </c>
      <c r="D738" t="s">
        <v>208</v>
      </c>
      <c r="E738" s="2">
        <v>45847</v>
      </c>
      <c r="F738" s="2" cm="1">
        <f t="array" ref="F738">_xlfn.IFS(B738="Owner Surrender",E738,B738="Stray",E738+6,B738="Stray w/identification",E738+11,B738="Bite",E738+10,B738="Other",E738+30,B738="BAS",E738+56,B738="Seized",E738)</f>
        <v>45847</v>
      </c>
      <c r="G738" s="2">
        <v>45852</v>
      </c>
      <c r="H738" s="6">
        <f t="shared" si="28"/>
        <v>5</v>
      </c>
      <c r="I738" s="6">
        <f t="shared" si="29"/>
        <v>5</v>
      </c>
      <c r="J738" s="2" t="s">
        <v>31</v>
      </c>
    </row>
    <row r="739" spans="1:12" x14ac:dyDescent="0.25">
      <c r="A739" s="3">
        <v>41176</v>
      </c>
      <c r="B739" s="2" t="s">
        <v>36</v>
      </c>
      <c r="C739" t="s">
        <v>79</v>
      </c>
      <c r="D739" t="s">
        <v>208</v>
      </c>
      <c r="E739" s="2">
        <v>45847</v>
      </c>
      <c r="F739" s="2" cm="1">
        <f t="array" ref="F739">_xlfn.IFS(B739="Owner Surrender",E739,B739="Stray",E739+6,B739="Stray w/identification",E739+11,B739="Bite",E739+10,B739="Other",E739+30,B739="BAS",E739+56,B739="Seized",E739)</f>
        <v>45847</v>
      </c>
      <c r="G739" s="2">
        <v>45852</v>
      </c>
      <c r="H739" s="6">
        <f t="shared" si="28"/>
        <v>5</v>
      </c>
      <c r="I739" s="6">
        <f t="shared" si="29"/>
        <v>5</v>
      </c>
      <c r="J739" s="2" t="s">
        <v>31</v>
      </c>
    </row>
    <row r="740" spans="1:12" x14ac:dyDescent="0.25">
      <c r="A740" s="3">
        <v>41178</v>
      </c>
      <c r="B740" s="2" t="s">
        <v>38</v>
      </c>
      <c r="C740" t="s">
        <v>56</v>
      </c>
      <c r="D740" t="s">
        <v>208</v>
      </c>
      <c r="E740" s="2">
        <v>45847</v>
      </c>
      <c r="F740" s="2" cm="1">
        <f t="array" ref="F740">_xlfn.IFS(B740="Owner Surrender",E740,B740="Stray",E740+6,B740="Stray w/identification",E740+11,B740="Bite",E740+10,B740="Other",E740+30,B740="BAS",E740+56,B740="Seized",E740)</f>
        <v>45853</v>
      </c>
      <c r="G740" s="2">
        <v>45848</v>
      </c>
      <c r="H740" s="6">
        <f t="shared" si="28"/>
        <v>1</v>
      </c>
      <c r="I740" s="6">
        <f t="shared" si="29"/>
        <v>-5</v>
      </c>
      <c r="J740" s="2" t="s">
        <v>8</v>
      </c>
    </row>
    <row r="741" spans="1:12" x14ac:dyDescent="0.25">
      <c r="A741" s="3">
        <v>41185</v>
      </c>
      <c r="B741" s="2" t="s">
        <v>36</v>
      </c>
      <c r="C741" t="s">
        <v>51</v>
      </c>
      <c r="D741" t="s">
        <v>208</v>
      </c>
      <c r="E741" s="2">
        <v>45848</v>
      </c>
      <c r="F741" s="2" cm="1">
        <f t="array" ref="F741">_xlfn.IFS(B741="Owner Surrender",E741,B741="Stray",E741+6,B741="Stray w/identification",E741+11,B741="Bite",E741+10,B741="Other",E741+30,B741="BAS",E741+56,B741="Seized",E741)</f>
        <v>45848</v>
      </c>
      <c r="G741" s="2">
        <v>45861</v>
      </c>
      <c r="H741" s="6">
        <f t="shared" si="28"/>
        <v>13</v>
      </c>
      <c r="I741" s="6">
        <f t="shared" si="29"/>
        <v>13</v>
      </c>
      <c r="J741" s="2" t="s">
        <v>11</v>
      </c>
    </row>
    <row r="742" spans="1:12" x14ac:dyDescent="0.25">
      <c r="A742" s="3">
        <v>41187</v>
      </c>
      <c r="B742" s="2" t="s">
        <v>36</v>
      </c>
      <c r="C742" t="s">
        <v>49</v>
      </c>
      <c r="D742" t="s">
        <v>209</v>
      </c>
      <c r="E742" s="2">
        <v>45848</v>
      </c>
      <c r="F742" s="2" cm="1">
        <f t="array" ref="F742">_xlfn.IFS(B742="Owner Surrender",E742,B742="Stray",E742+6,B742="Stray w/identification",E742+11,B742="Bite",E742+10,B742="Other",E742+30,B742="BAS",E742+56,B742="Seized",E742)</f>
        <v>45848</v>
      </c>
      <c r="G742" s="2">
        <v>45848</v>
      </c>
      <c r="H742" s="6">
        <f t="shared" si="28"/>
        <v>0</v>
      </c>
      <c r="I742" s="6">
        <f t="shared" si="29"/>
        <v>0</v>
      </c>
      <c r="J742" s="2" t="s">
        <v>31</v>
      </c>
      <c r="L742" t="s">
        <v>33</v>
      </c>
    </row>
    <row r="743" spans="1:12" x14ac:dyDescent="0.25">
      <c r="A743" s="3">
        <v>41188</v>
      </c>
      <c r="B743" s="2" t="s">
        <v>36</v>
      </c>
      <c r="C743" t="s">
        <v>49</v>
      </c>
      <c r="D743" t="s">
        <v>209</v>
      </c>
      <c r="E743" s="2">
        <v>45848</v>
      </c>
      <c r="F743" s="2" cm="1">
        <f t="array" ref="F743">_xlfn.IFS(B743="Owner Surrender",E743,B743="Stray",E743+6,B743="Stray w/identification",E743+11,B743="Bite",E743+10,B743="Other",E743+30,B743="BAS",E743+56,B743="Seized",E743)</f>
        <v>45848</v>
      </c>
      <c r="G743" s="2">
        <v>45848</v>
      </c>
      <c r="H743" s="6">
        <f t="shared" si="28"/>
        <v>0</v>
      </c>
      <c r="I743" s="6">
        <f t="shared" si="29"/>
        <v>0</v>
      </c>
      <c r="J743" s="2" t="s">
        <v>31</v>
      </c>
      <c r="L743" t="s">
        <v>33</v>
      </c>
    </row>
    <row r="744" spans="1:12" x14ac:dyDescent="0.25">
      <c r="A744" s="3">
        <v>41189</v>
      </c>
      <c r="B744" s="2" t="s">
        <v>36</v>
      </c>
      <c r="C744" t="s">
        <v>49</v>
      </c>
      <c r="D744" t="s">
        <v>209</v>
      </c>
      <c r="E744" s="2">
        <v>45848</v>
      </c>
      <c r="F744" s="2" cm="1">
        <f t="array" ref="F744">_xlfn.IFS(B744="Owner Surrender",E744,B744="Stray",E744+6,B744="Stray w/identification",E744+11,B744="Bite",E744+10,B744="Other",E744+30,B744="BAS",E744+56,B744="Seized",E744)</f>
        <v>45848</v>
      </c>
      <c r="G744" s="2">
        <v>45848</v>
      </c>
      <c r="H744" s="6">
        <f t="shared" si="28"/>
        <v>0</v>
      </c>
      <c r="I744" s="6">
        <f t="shared" si="29"/>
        <v>0</v>
      </c>
      <c r="J744" s="2" t="s">
        <v>31</v>
      </c>
      <c r="L744" t="s">
        <v>33</v>
      </c>
    </row>
    <row r="745" spans="1:12" x14ac:dyDescent="0.25">
      <c r="A745" s="3">
        <v>41190</v>
      </c>
      <c r="B745" s="2" t="s">
        <v>53</v>
      </c>
      <c r="C745" t="s">
        <v>143</v>
      </c>
      <c r="D745" t="s">
        <v>208</v>
      </c>
      <c r="E745" s="2">
        <v>45849</v>
      </c>
      <c r="F745" s="2" cm="1">
        <f t="array" ref="F745">_xlfn.IFS(B745="Owner Surrender",E745,B745="Stray",E745+6,B745="Stray w/identification",E745+11,B745="Bite",E745+10,B745="Other",E745+30,B745="BAS",E745+56,B745="Seized",E745)</f>
        <v>45849</v>
      </c>
      <c r="G745" s="2">
        <v>45874</v>
      </c>
      <c r="H745" s="6">
        <f t="shared" si="28"/>
        <v>25</v>
      </c>
      <c r="I745" s="6">
        <f t="shared" si="29"/>
        <v>25</v>
      </c>
      <c r="J745" s="2" t="s">
        <v>31</v>
      </c>
      <c r="L745" t="s">
        <v>67</v>
      </c>
    </row>
    <row r="746" spans="1:12" x14ac:dyDescent="0.25">
      <c r="A746" s="3">
        <v>41191</v>
      </c>
      <c r="B746" s="2" t="s">
        <v>53</v>
      </c>
      <c r="C746" t="s">
        <v>73</v>
      </c>
      <c r="D746" t="s">
        <v>208</v>
      </c>
      <c r="E746" s="2">
        <v>45849</v>
      </c>
      <c r="F746" s="2" cm="1">
        <f t="array" ref="F746">_xlfn.IFS(B746="Owner Surrender",E746,B746="Stray",E746+6,B746="Stray w/identification",E746+11,B746="Bite",E746+10,B746="Other",E746+30,B746="BAS",E746+56,B746="Seized",E746)</f>
        <v>45849</v>
      </c>
      <c r="G746" s="2">
        <v>45852</v>
      </c>
      <c r="H746" s="6">
        <f t="shared" si="28"/>
        <v>3</v>
      </c>
      <c r="I746" s="6">
        <f t="shared" si="29"/>
        <v>3</v>
      </c>
      <c r="J746" s="2" t="s">
        <v>31</v>
      </c>
    </row>
    <row r="747" spans="1:12" x14ac:dyDescent="0.25">
      <c r="A747" s="3">
        <v>41192</v>
      </c>
      <c r="B747" s="2" t="s">
        <v>53</v>
      </c>
      <c r="C747" t="s">
        <v>49</v>
      </c>
      <c r="D747" t="s">
        <v>208</v>
      </c>
      <c r="E747" s="2">
        <v>45849</v>
      </c>
      <c r="F747" s="2" cm="1">
        <f t="array" ref="F747">_xlfn.IFS(B747="Owner Surrender",E747,B747="Stray",E747+6,B747="Stray w/identification",E747+11,B747="Bite",E747+10,B747="Other",E747+30,B747="BAS",E747+56,B747="Seized",E747)</f>
        <v>45849</v>
      </c>
      <c r="G747" s="2">
        <v>45852</v>
      </c>
      <c r="H747" s="6">
        <f t="shared" si="28"/>
        <v>3</v>
      </c>
      <c r="I747" s="6">
        <f t="shared" si="29"/>
        <v>3</v>
      </c>
      <c r="J747" s="2" t="s">
        <v>31</v>
      </c>
    </row>
    <row r="748" spans="1:12" x14ac:dyDescent="0.25">
      <c r="A748" s="3">
        <v>41201</v>
      </c>
      <c r="B748" s="2" t="s">
        <v>36</v>
      </c>
      <c r="C748" t="s">
        <v>89</v>
      </c>
      <c r="D748" t="s">
        <v>210</v>
      </c>
      <c r="E748" s="2">
        <v>45849</v>
      </c>
      <c r="F748" s="2" cm="1">
        <f t="array" ref="F748">_xlfn.IFS(B748="Owner Surrender",E748,B748="Stray",E748+6,B748="Stray w/identification",E748+11,B748="Bite",E748+10,B748="Other",E748+30,B748="BAS",E748+56,B748="Seized",E748)</f>
        <v>45849</v>
      </c>
      <c r="G748" s="2">
        <v>45859</v>
      </c>
      <c r="H748" s="6">
        <f t="shared" si="28"/>
        <v>10</v>
      </c>
      <c r="I748" s="6">
        <f t="shared" si="29"/>
        <v>10</v>
      </c>
      <c r="J748" s="2" t="s">
        <v>18</v>
      </c>
      <c r="L748" t="s">
        <v>85</v>
      </c>
    </row>
    <row r="749" spans="1:12" x14ac:dyDescent="0.25">
      <c r="A749" s="3">
        <v>41202</v>
      </c>
      <c r="B749" s="2" t="s">
        <v>36</v>
      </c>
      <c r="C749" t="s">
        <v>72</v>
      </c>
      <c r="D749" t="s">
        <v>211</v>
      </c>
      <c r="E749" s="2">
        <v>45849</v>
      </c>
      <c r="F749" s="2" cm="1">
        <f t="array" ref="F749">_xlfn.IFS(B749="Owner Surrender",E749,B749="Stray",E749+6,B749="Stray w/identification",E749+11,B749="Bite",E749+10,B749="Other",E749+30,B749="BAS",E749+56,B749="Seized",E749)</f>
        <v>45849</v>
      </c>
      <c r="G749" s="2">
        <v>45851</v>
      </c>
      <c r="H749" s="6">
        <f t="shared" si="28"/>
        <v>2</v>
      </c>
      <c r="I749" s="6">
        <f t="shared" si="29"/>
        <v>2</v>
      </c>
      <c r="J749" s="2" t="s">
        <v>31</v>
      </c>
    </row>
    <row r="750" spans="1:12" x14ac:dyDescent="0.25">
      <c r="A750" s="3">
        <v>41207</v>
      </c>
      <c r="B750" s="2" t="s">
        <v>38</v>
      </c>
      <c r="C750" t="s">
        <v>145</v>
      </c>
      <c r="D750" t="s">
        <v>208</v>
      </c>
      <c r="E750" s="2">
        <v>45849</v>
      </c>
      <c r="F750" s="2" cm="1">
        <f t="array" ref="F750">_xlfn.IFS(B750="Owner Surrender",E750,B750="Stray",E750+6,B750="Stray w/identification",E750+11,B750="Bite",E750+10,B750="Other",E750+30,B750="BAS",E750+56,B750="Seized",E750)</f>
        <v>45855</v>
      </c>
      <c r="G750" s="2">
        <v>45856</v>
      </c>
      <c r="H750" s="6">
        <f t="shared" si="28"/>
        <v>7</v>
      </c>
      <c r="I750" s="6">
        <f t="shared" si="29"/>
        <v>1</v>
      </c>
      <c r="J750" s="2" t="s">
        <v>31</v>
      </c>
    </row>
    <row r="751" spans="1:12" x14ac:dyDescent="0.25">
      <c r="A751" s="3">
        <v>41210</v>
      </c>
      <c r="B751" s="2" t="s">
        <v>180</v>
      </c>
      <c r="C751" t="s">
        <v>60</v>
      </c>
      <c r="D751" t="s">
        <v>208</v>
      </c>
      <c r="E751" s="2">
        <v>45851</v>
      </c>
      <c r="F751" s="2" cm="1">
        <f t="array" ref="F751">_xlfn.IFS(B751="Owner Surrender",E751,B751="Stray",E751+6,B751="Stray w/identification",E751+11,B751="Bite",E751+10,B751="Other",E751+30,B751="BAS",E751+56,B751="Seized",E751)</f>
        <v>45862</v>
      </c>
      <c r="G751" s="2">
        <v>45863</v>
      </c>
      <c r="H751" s="6">
        <f t="shared" si="28"/>
        <v>12</v>
      </c>
      <c r="I751" s="6">
        <f t="shared" si="29"/>
        <v>1</v>
      </c>
      <c r="J751" s="2" t="s">
        <v>11</v>
      </c>
    </row>
    <row r="752" spans="1:12" x14ac:dyDescent="0.25">
      <c r="A752" s="3">
        <v>41214</v>
      </c>
      <c r="B752" s="2" t="s">
        <v>180</v>
      </c>
      <c r="C752" t="s">
        <v>50</v>
      </c>
      <c r="D752" t="s">
        <v>210</v>
      </c>
      <c r="E752" s="2">
        <v>45852</v>
      </c>
      <c r="F752" s="2" cm="1">
        <f t="array" ref="F752">_xlfn.IFS(B752="Owner Surrender",E752,B752="Stray",E752+6,B752="Stray w/identification",E752+11,B752="Bite",E752+10,B752="Other",E752+30,B752="BAS",E752+56,B752="Seized",E752)</f>
        <v>45863</v>
      </c>
      <c r="G752" s="2">
        <v>45866</v>
      </c>
      <c r="H752" s="6">
        <f t="shared" si="28"/>
        <v>14</v>
      </c>
      <c r="I752" s="6">
        <f t="shared" si="29"/>
        <v>3</v>
      </c>
      <c r="J752" s="2" t="s">
        <v>11</v>
      </c>
    </row>
    <row r="753" spans="1:12" x14ac:dyDescent="0.25">
      <c r="A753" s="3">
        <v>41215</v>
      </c>
      <c r="B753" s="2" t="s">
        <v>180</v>
      </c>
      <c r="C753" t="s">
        <v>49</v>
      </c>
      <c r="D753" t="s">
        <v>208</v>
      </c>
      <c r="E753" s="2">
        <v>45851</v>
      </c>
      <c r="F753" s="2" cm="1">
        <f t="array" ref="F753">_xlfn.IFS(B753="Owner Surrender",E753,B753="Stray",E753+6,B753="Stray w/identification",E753+11,B753="Bite",E753+10,B753="Other",E753+30,B753="BAS",E753+56,B753="Seized",E753)</f>
        <v>45862</v>
      </c>
      <c r="G753" s="2">
        <v>45868</v>
      </c>
      <c r="H753" s="6">
        <f t="shared" si="28"/>
        <v>17</v>
      </c>
      <c r="I753" s="6">
        <f t="shared" si="29"/>
        <v>6</v>
      </c>
      <c r="J753" s="2" t="s">
        <v>31</v>
      </c>
      <c r="L753" t="s">
        <v>196</v>
      </c>
    </row>
    <row r="754" spans="1:12" x14ac:dyDescent="0.25">
      <c r="A754" s="3">
        <v>41216</v>
      </c>
      <c r="B754" s="2" t="s">
        <v>38</v>
      </c>
      <c r="C754" t="s">
        <v>49</v>
      </c>
      <c r="D754" t="s">
        <v>208</v>
      </c>
      <c r="E754" s="2">
        <v>45852</v>
      </c>
      <c r="F754" s="2" cm="1">
        <f t="array" ref="F754">_xlfn.IFS(B754="Owner Surrender",E754,B754="Stray",E754+6,B754="Stray w/identification",E754+11,B754="Bite",E754+10,B754="Other",E754+30,B754="BAS",E754+56,B754="Seized",E754)</f>
        <v>45858</v>
      </c>
      <c r="G754" s="2">
        <v>45853</v>
      </c>
      <c r="H754" s="6">
        <f t="shared" si="28"/>
        <v>1</v>
      </c>
      <c r="I754" s="6">
        <f t="shared" si="29"/>
        <v>-5</v>
      </c>
      <c r="J754" s="2" t="s">
        <v>18</v>
      </c>
      <c r="L754" s="2" t="s">
        <v>93</v>
      </c>
    </row>
    <row r="755" spans="1:12" x14ac:dyDescent="0.25">
      <c r="A755" s="3">
        <v>41217</v>
      </c>
      <c r="B755" s="2" t="s">
        <v>42</v>
      </c>
      <c r="C755" t="s">
        <v>50</v>
      </c>
      <c r="D755" t="s">
        <v>208</v>
      </c>
      <c r="E755" s="2">
        <v>45851</v>
      </c>
      <c r="F755" s="2" cm="1">
        <f t="array" ref="F755">_xlfn.IFS(B755="Owner Surrender",E755,B755="Stray",E755+6,B755="Stray w/identification",E755+11,B755="Bite",E755+10,B755="Other",E755+30,B755="BAS",E755+56,B755="Seized",E755)</f>
        <v>45861</v>
      </c>
      <c r="G755" s="2">
        <v>45862</v>
      </c>
      <c r="H755" s="6">
        <f t="shared" si="28"/>
        <v>11</v>
      </c>
      <c r="I755" s="6">
        <f t="shared" si="29"/>
        <v>1</v>
      </c>
      <c r="J755" s="2" t="s">
        <v>31</v>
      </c>
    </row>
    <row r="756" spans="1:12" x14ac:dyDescent="0.25">
      <c r="A756" s="3">
        <v>41218</v>
      </c>
      <c r="B756" s="2" t="s">
        <v>42</v>
      </c>
      <c r="C756" t="s">
        <v>50</v>
      </c>
      <c r="D756" t="s">
        <v>208</v>
      </c>
      <c r="E756" s="2">
        <v>45851</v>
      </c>
      <c r="F756" s="2" cm="1">
        <f t="array" ref="F756">_xlfn.IFS(B756="Owner Surrender",E756,B756="Stray",E756+6,B756="Stray w/identification",E756+11,B756="Bite",E756+10,B756="Other",E756+30,B756="BAS",E756+56,B756="Seized",E756)</f>
        <v>45861</v>
      </c>
      <c r="G756" s="2">
        <v>45862</v>
      </c>
      <c r="H756" s="6">
        <f t="shared" si="28"/>
        <v>11</v>
      </c>
      <c r="I756" s="6">
        <f t="shared" si="29"/>
        <v>1</v>
      </c>
      <c r="J756" s="2" t="s">
        <v>31</v>
      </c>
    </row>
    <row r="757" spans="1:12" x14ac:dyDescent="0.25">
      <c r="A757" s="3">
        <v>41219</v>
      </c>
      <c r="B757" s="2" t="s">
        <v>42</v>
      </c>
      <c r="C757" t="s">
        <v>50</v>
      </c>
      <c r="D757" t="s">
        <v>208</v>
      </c>
      <c r="E757" s="2">
        <v>45851</v>
      </c>
      <c r="F757" s="2" cm="1">
        <f t="array" ref="F757">_xlfn.IFS(B757="Owner Surrender",E757,B757="Stray",E757+6,B757="Stray w/identification",E757+11,B757="Bite",E757+10,B757="Other",E757+30,B757="BAS",E757+56,B757="Seized",E757)</f>
        <v>45861</v>
      </c>
      <c r="G757" s="2">
        <v>45865</v>
      </c>
      <c r="H757" s="6">
        <f t="shared" si="28"/>
        <v>14</v>
      </c>
      <c r="I757" s="6">
        <f t="shared" si="29"/>
        <v>4</v>
      </c>
      <c r="J757" s="2" t="s">
        <v>31</v>
      </c>
    </row>
    <row r="758" spans="1:12" x14ac:dyDescent="0.25">
      <c r="A758" s="3">
        <v>41220</v>
      </c>
      <c r="B758" s="2" t="s">
        <v>61</v>
      </c>
      <c r="C758" t="s">
        <v>50</v>
      </c>
      <c r="D758" t="s">
        <v>208</v>
      </c>
      <c r="E758" s="2">
        <v>45851</v>
      </c>
      <c r="F758" s="2" cm="1">
        <f t="array" ref="F758">_xlfn.IFS(B758="Owner Surrender",E758,B758="Stray",E758+6,B758="Stray w/identification",E758+11,B758="Bite",E758+10,B758="Other",E758+30,B758="BAS",E758+56,B758="Seized",E758)</f>
        <v>45881</v>
      </c>
      <c r="G758" s="2">
        <v>45862</v>
      </c>
      <c r="H758" s="6">
        <f t="shared" si="28"/>
        <v>11</v>
      </c>
      <c r="J758" s="2" t="s">
        <v>31</v>
      </c>
      <c r="L758" t="s">
        <v>197</v>
      </c>
    </row>
    <row r="759" spans="1:12" x14ac:dyDescent="0.25">
      <c r="A759" s="3">
        <v>41221</v>
      </c>
      <c r="B759" s="2" t="s">
        <v>42</v>
      </c>
      <c r="C759" t="s">
        <v>50</v>
      </c>
      <c r="D759" t="s">
        <v>208</v>
      </c>
      <c r="E759" s="2">
        <v>45851</v>
      </c>
      <c r="F759" s="2" cm="1">
        <f t="array" ref="F759">_xlfn.IFS(B759="Owner Surrender",E759,B759="Stray",E759+6,B759="Stray w/identification",E759+11,B759="Bite",E759+10,B759="Other",E759+30,B759="BAS",E759+56,B759="Seized",E759)</f>
        <v>45861</v>
      </c>
      <c r="G759" s="2">
        <v>45862</v>
      </c>
      <c r="H759" s="6">
        <f t="shared" si="28"/>
        <v>11</v>
      </c>
      <c r="I759" s="6">
        <f>G759-F759</f>
        <v>1</v>
      </c>
      <c r="J759" s="2" t="s">
        <v>31</v>
      </c>
    </row>
    <row r="760" spans="1:12" x14ac:dyDescent="0.25">
      <c r="A760" s="3">
        <v>41222</v>
      </c>
      <c r="B760" s="2" t="s">
        <v>42</v>
      </c>
      <c r="C760" t="s">
        <v>50</v>
      </c>
      <c r="D760" t="s">
        <v>208</v>
      </c>
      <c r="E760" s="2">
        <v>45851</v>
      </c>
      <c r="F760" s="2" cm="1">
        <f t="array" ref="F760">_xlfn.IFS(B760="Owner Surrender",E760,B760="Stray",E760+6,B760="Stray w/identification",E760+11,B760="Bite",E760+10,B760="Other",E760+30,B760="BAS",E760+56,B760="Seized",E760)</f>
        <v>45861</v>
      </c>
      <c r="G760" s="2">
        <v>45862</v>
      </c>
      <c r="H760" s="6">
        <f t="shared" si="28"/>
        <v>11</v>
      </c>
      <c r="I760" s="6">
        <f>G760-F760</f>
        <v>1</v>
      </c>
      <c r="J760" s="2" t="s">
        <v>31</v>
      </c>
    </row>
    <row r="761" spans="1:12" x14ac:dyDescent="0.25">
      <c r="A761" s="3">
        <v>41223</v>
      </c>
      <c r="B761" s="2" t="s">
        <v>61</v>
      </c>
      <c r="C761" t="s">
        <v>50</v>
      </c>
      <c r="D761" t="s">
        <v>209</v>
      </c>
      <c r="E761" s="2">
        <v>45851</v>
      </c>
      <c r="F761" s="2" cm="1">
        <f t="array" ref="F761">_xlfn.IFS(B761="Owner Surrender",E761,B761="Stray",E761+6,B761="Stray w/identification",E761+11,B761="Bite",E761+10,B761="Other",E761+30,B761="BAS",E761+56,B761="Seized",E761)</f>
        <v>45881</v>
      </c>
      <c r="G761" s="2">
        <v>45874</v>
      </c>
      <c r="H761" s="6">
        <f t="shared" si="28"/>
        <v>23</v>
      </c>
      <c r="J761" s="2" t="s">
        <v>31</v>
      </c>
    </row>
    <row r="762" spans="1:12" x14ac:dyDescent="0.25">
      <c r="A762" s="3">
        <v>41224</v>
      </c>
      <c r="B762" s="2" t="s">
        <v>61</v>
      </c>
      <c r="C762" t="s">
        <v>50</v>
      </c>
      <c r="D762" t="s">
        <v>209</v>
      </c>
      <c r="E762" s="2">
        <v>45851</v>
      </c>
      <c r="F762" s="2" cm="1">
        <f t="array" ref="F762">_xlfn.IFS(B762="Owner Surrender",E762,B762="Stray",E762+6,B762="Stray w/identification",E762+11,B762="Bite",E762+10,B762="Other",E762+30,B762="BAS",E762+56,B762="Seized",E762)</f>
        <v>45881</v>
      </c>
      <c r="G762" s="2">
        <v>45882</v>
      </c>
      <c r="H762" s="6">
        <f t="shared" si="28"/>
        <v>31</v>
      </c>
      <c r="J762" s="2" t="s">
        <v>31</v>
      </c>
    </row>
    <row r="763" spans="1:12" x14ac:dyDescent="0.25">
      <c r="A763" s="3">
        <v>41225</v>
      </c>
      <c r="B763" s="2" t="s">
        <v>61</v>
      </c>
      <c r="C763" t="s">
        <v>50</v>
      </c>
      <c r="D763" t="s">
        <v>209</v>
      </c>
      <c r="E763" s="2">
        <v>45851</v>
      </c>
      <c r="F763" s="2" cm="1">
        <f t="array" ref="F763">_xlfn.IFS(B763="Owner Surrender",E763,B763="Stray",E763+6,B763="Stray w/identification",E763+11,B763="Bite",E763+10,B763="Other",E763+30,B763="BAS",E763+56,B763="Seized",E763)</f>
        <v>45881</v>
      </c>
      <c r="G763" s="2">
        <v>45882</v>
      </c>
      <c r="H763" s="6">
        <f t="shared" si="28"/>
        <v>31</v>
      </c>
      <c r="J763" s="2" t="s">
        <v>31</v>
      </c>
    </row>
    <row r="764" spans="1:12" x14ac:dyDescent="0.25">
      <c r="A764" s="3">
        <v>41226</v>
      </c>
      <c r="B764" s="2" t="s">
        <v>61</v>
      </c>
      <c r="C764" t="s">
        <v>107</v>
      </c>
      <c r="D764" t="s">
        <v>208</v>
      </c>
      <c r="E764" s="2">
        <v>45851</v>
      </c>
      <c r="F764" s="2" cm="1">
        <f t="array" ref="F764">_xlfn.IFS(B764="Owner Surrender",E764,B764="Stray",E764+6,B764="Stray w/identification",E764+11,B764="Bite",E764+10,B764="Other",E764+30,B764="BAS",E764+56,B764="Seized",E764)</f>
        <v>45881</v>
      </c>
      <c r="G764" s="2">
        <v>45863</v>
      </c>
      <c r="H764" s="6">
        <f t="shared" si="28"/>
        <v>12</v>
      </c>
      <c r="J764" s="2" t="s">
        <v>8</v>
      </c>
    </row>
    <row r="765" spans="1:12" x14ac:dyDescent="0.25">
      <c r="A765" s="3">
        <v>41227</v>
      </c>
      <c r="B765" s="2" t="s">
        <v>42</v>
      </c>
      <c r="C765" t="s">
        <v>50</v>
      </c>
      <c r="D765" t="s">
        <v>208</v>
      </c>
      <c r="E765" s="2">
        <v>45851</v>
      </c>
      <c r="F765" s="2" cm="1">
        <f t="array" ref="F765">_xlfn.IFS(B765="Owner Surrender",E765,B765="Stray",E765+6,B765="Stray w/identification",E765+11,B765="Bite",E765+10,B765="Other",E765+30,B765="BAS",E765+56,B765="Seized",E765)</f>
        <v>45861</v>
      </c>
      <c r="G765" s="2">
        <v>45861</v>
      </c>
      <c r="H765" s="6">
        <f t="shared" si="28"/>
        <v>10</v>
      </c>
      <c r="I765" s="6">
        <f>G765-F765</f>
        <v>0</v>
      </c>
      <c r="J765" s="2" t="s">
        <v>31</v>
      </c>
      <c r="L765" t="s">
        <v>64</v>
      </c>
    </row>
    <row r="766" spans="1:12" x14ac:dyDescent="0.25">
      <c r="A766" s="3">
        <v>41228</v>
      </c>
      <c r="B766" s="2" t="s">
        <v>61</v>
      </c>
      <c r="C766" t="s">
        <v>50</v>
      </c>
      <c r="D766" t="s">
        <v>208</v>
      </c>
      <c r="E766" s="2">
        <v>45851</v>
      </c>
      <c r="F766" s="2" cm="1">
        <f t="array" ref="F766">_xlfn.IFS(B766="Owner Surrender",E766,B766="Stray",E766+6,B766="Stray w/identification",E766+11,B766="Bite",E766+10,B766="Other",E766+30,B766="BAS",E766+56,B766="Seized",E766)</f>
        <v>45881</v>
      </c>
      <c r="G766" s="2">
        <v>45863</v>
      </c>
      <c r="H766" s="6">
        <f t="shared" si="28"/>
        <v>12</v>
      </c>
      <c r="J766" s="2" t="s">
        <v>8</v>
      </c>
    </row>
    <row r="767" spans="1:12" x14ac:dyDescent="0.25">
      <c r="A767" s="3">
        <v>41229</v>
      </c>
      <c r="B767" s="2" t="s">
        <v>38</v>
      </c>
      <c r="C767" t="s">
        <v>79</v>
      </c>
      <c r="D767" t="s">
        <v>208</v>
      </c>
      <c r="E767" s="2">
        <v>45853</v>
      </c>
      <c r="F767" s="2" cm="1">
        <f t="array" ref="F767">_xlfn.IFS(B767="Owner Surrender",E767,B767="Stray",E767+6,B767="Stray w/identification",E767+11,B767="Bite",E767+10,B767="Other",E767+30,B767="BAS",E767+56,B767="Seized",E767)</f>
        <v>45859</v>
      </c>
      <c r="G767" s="2">
        <v>45860</v>
      </c>
      <c r="J767" s="2" t="s">
        <v>31</v>
      </c>
    </row>
    <row r="768" spans="1:12" x14ac:dyDescent="0.25">
      <c r="A768" s="3">
        <v>41230</v>
      </c>
      <c r="B768" s="2" t="s">
        <v>38</v>
      </c>
      <c r="C768" t="s">
        <v>149</v>
      </c>
      <c r="D768" t="s">
        <v>209</v>
      </c>
      <c r="E768" s="2">
        <v>45853</v>
      </c>
      <c r="F768" s="2" cm="1">
        <f t="array" ref="F768">_xlfn.IFS(B768="Owner Surrender",E768,B768="Stray",E768+6,B768="Stray w/identification",E768+11,B768="Bite",E768+10,B768="Other",E768+30,B768="BAS",E768+56,B768="Seized",E768)</f>
        <v>45859</v>
      </c>
      <c r="G768" s="2">
        <v>45882</v>
      </c>
      <c r="H768" s="6">
        <f t="shared" ref="H768:H774" si="30">+G768-E768</f>
        <v>29</v>
      </c>
      <c r="I768" s="6">
        <f t="shared" ref="I768:I774" si="31">G768-F768</f>
        <v>23</v>
      </c>
      <c r="J768" s="2" t="s">
        <v>31</v>
      </c>
    </row>
    <row r="769" spans="1:12" x14ac:dyDescent="0.25">
      <c r="A769" s="3">
        <v>41232</v>
      </c>
      <c r="B769" s="2" t="s">
        <v>36</v>
      </c>
      <c r="C769" t="s">
        <v>81</v>
      </c>
      <c r="D769" t="s">
        <v>208</v>
      </c>
      <c r="E769" s="2">
        <v>45853</v>
      </c>
      <c r="F769" s="2" cm="1">
        <f t="array" ref="F769">_xlfn.IFS(B769="Owner Surrender",E769,B769="Stray",E769+6,B769="Stray w/identification",E769+11,B769="Bite",E769+10,B769="Other",E769+30,B769="BAS",E769+56,B769="Seized",E769)</f>
        <v>45853</v>
      </c>
      <c r="G769" s="2">
        <v>45871</v>
      </c>
      <c r="H769" s="6">
        <f t="shared" si="30"/>
        <v>18</v>
      </c>
      <c r="I769" s="6">
        <f t="shared" si="31"/>
        <v>18</v>
      </c>
      <c r="J769" s="2" t="s">
        <v>18</v>
      </c>
      <c r="L769" t="s">
        <v>82</v>
      </c>
    </row>
    <row r="770" spans="1:12" x14ac:dyDescent="0.25">
      <c r="A770" s="3">
        <v>41233</v>
      </c>
      <c r="B770" s="2" t="s">
        <v>36</v>
      </c>
      <c r="C770" t="s">
        <v>49</v>
      </c>
      <c r="D770" t="s">
        <v>210</v>
      </c>
      <c r="E770" s="2">
        <v>45853</v>
      </c>
      <c r="F770" s="2" cm="1">
        <f t="array" ref="F770">_xlfn.IFS(B770="Owner Surrender",E770,B770="Stray",E770+6,B770="Stray w/identification",E770+11,B770="Bite",E770+10,B770="Other",E770+30,B770="BAS",E770+56,B770="Seized",E770)</f>
        <v>45853</v>
      </c>
      <c r="G770" s="2">
        <v>45859</v>
      </c>
      <c r="H770" s="6">
        <f t="shared" si="30"/>
        <v>6</v>
      </c>
      <c r="I770" s="6">
        <f t="shared" si="31"/>
        <v>6</v>
      </c>
      <c r="J770" s="2" t="s">
        <v>18</v>
      </c>
      <c r="L770" t="s">
        <v>85</v>
      </c>
    </row>
    <row r="771" spans="1:12" x14ac:dyDescent="0.25">
      <c r="A771" s="3">
        <v>41234</v>
      </c>
      <c r="B771" s="2" t="s">
        <v>36</v>
      </c>
      <c r="C771" t="s">
        <v>49</v>
      </c>
      <c r="D771" t="s">
        <v>208</v>
      </c>
      <c r="E771" s="2">
        <v>45853</v>
      </c>
      <c r="F771" s="2" cm="1">
        <f t="array" ref="F771">_xlfn.IFS(B771="Owner Surrender",E771,B771="Stray",E771+6,B771="Stray w/identification",E771+11,B771="Bite",E771+10,B771="Other",E771+30,B771="BAS",E771+56,B771="Seized",E771)</f>
        <v>45853</v>
      </c>
      <c r="G771" s="2">
        <v>45868</v>
      </c>
      <c r="H771" s="6">
        <f t="shared" si="30"/>
        <v>15</v>
      </c>
      <c r="I771" s="6">
        <f t="shared" si="31"/>
        <v>15</v>
      </c>
      <c r="J771" s="2" t="s">
        <v>31</v>
      </c>
    </row>
    <row r="772" spans="1:12" x14ac:dyDescent="0.25">
      <c r="A772" s="3">
        <v>41235</v>
      </c>
      <c r="B772" s="2" t="s">
        <v>36</v>
      </c>
      <c r="C772" t="s">
        <v>49</v>
      </c>
      <c r="D772" t="s">
        <v>208</v>
      </c>
      <c r="E772" s="2">
        <v>45853</v>
      </c>
      <c r="F772" s="2" cm="1">
        <f t="array" ref="F772">_xlfn.IFS(B772="Owner Surrender",E772,B772="Stray",E772+6,B772="Stray w/identification",E772+11,B772="Bite",E772+10,B772="Other",E772+30,B772="BAS",E772+56,B772="Seized",E772)</f>
        <v>45853</v>
      </c>
      <c r="G772" s="2">
        <v>45859</v>
      </c>
      <c r="H772" s="6">
        <f t="shared" si="30"/>
        <v>6</v>
      </c>
      <c r="I772" s="6">
        <f t="shared" si="31"/>
        <v>6</v>
      </c>
      <c r="J772" s="2" t="s">
        <v>18</v>
      </c>
      <c r="L772" t="s">
        <v>85</v>
      </c>
    </row>
    <row r="773" spans="1:12" x14ac:dyDescent="0.25">
      <c r="A773" s="3">
        <v>41237</v>
      </c>
      <c r="B773" s="2" t="s">
        <v>36</v>
      </c>
      <c r="C773" t="s">
        <v>151</v>
      </c>
      <c r="D773" t="s">
        <v>208</v>
      </c>
      <c r="E773" s="2">
        <v>45853</v>
      </c>
      <c r="F773" s="2" cm="1">
        <f t="array" ref="F773">_xlfn.IFS(B773="Owner Surrender",E773,B773="Stray",E773+6,B773="Stray w/identification",E773+11,B773="Bite",E773+10,B773="Other",E773+30,B773="BAS",E773+56,B773="Seized",E773)</f>
        <v>45853</v>
      </c>
      <c r="G773" s="2">
        <v>45856</v>
      </c>
      <c r="H773" s="6">
        <f t="shared" si="30"/>
        <v>3</v>
      </c>
      <c r="I773" s="6">
        <f t="shared" si="31"/>
        <v>3</v>
      </c>
      <c r="J773" s="2" t="s">
        <v>31</v>
      </c>
      <c r="K773" s="2" t="s">
        <v>152</v>
      </c>
    </row>
    <row r="774" spans="1:12" x14ac:dyDescent="0.25">
      <c r="A774" s="3">
        <v>41245</v>
      </c>
      <c r="B774" s="2" t="s">
        <v>38</v>
      </c>
      <c r="C774" t="s">
        <v>50</v>
      </c>
      <c r="D774" t="s">
        <v>208</v>
      </c>
      <c r="E774" s="2">
        <v>45855</v>
      </c>
      <c r="F774" s="2" cm="1">
        <f t="array" ref="F774">_xlfn.IFS(B774="Owner Surrender",E774,B774="Stray",E774+6,B774="Stray w/identification",E774+11,B774="Bite",E774+10,B774="Other",E774+30,B774="BAS",E774+56,B774="Seized",E774)</f>
        <v>45861</v>
      </c>
      <c r="G774" s="2">
        <v>45868</v>
      </c>
      <c r="H774" s="6">
        <f t="shared" si="30"/>
        <v>13</v>
      </c>
      <c r="I774" s="6">
        <f t="shared" si="31"/>
        <v>7</v>
      </c>
      <c r="J774" s="2" t="s">
        <v>31</v>
      </c>
    </row>
    <row r="775" spans="1:12" x14ac:dyDescent="0.25">
      <c r="A775" s="3">
        <v>41246</v>
      </c>
      <c r="B775" s="2" t="s">
        <v>180</v>
      </c>
      <c r="C775" t="s">
        <v>105</v>
      </c>
      <c r="D775" t="s">
        <v>209</v>
      </c>
      <c r="E775" s="2">
        <v>45854</v>
      </c>
      <c r="F775" s="2" cm="1">
        <f t="array" ref="F775">_xlfn.IFS(B775="Owner Surrender",E775,B775="Stray",E775+6,B775="Stray w/identification",E775+11,B775="Bite",E775+10,B775="Other",E775+30,B775="BAS",E775+56,B775="Seized",E775)</f>
        <v>45865</v>
      </c>
      <c r="J775" s="2" t="s">
        <v>21</v>
      </c>
      <c r="L775" s="2" t="s">
        <v>198</v>
      </c>
    </row>
    <row r="776" spans="1:12" x14ac:dyDescent="0.25">
      <c r="A776" s="3">
        <v>41247</v>
      </c>
      <c r="B776" s="2" t="s">
        <v>180</v>
      </c>
      <c r="C776" t="s">
        <v>50</v>
      </c>
      <c r="D776" t="s">
        <v>210</v>
      </c>
      <c r="E776" s="2">
        <v>45855</v>
      </c>
      <c r="F776" s="2" cm="1">
        <f t="array" ref="F776">_xlfn.IFS(B776="Owner Surrender",E776,B776="Stray",E776+6,B776="Stray w/identification",E776+11,B776="Bite",E776+10,B776="Other",E776+30,B776="BAS",E776+56,B776="Seized",E776)</f>
        <v>45866</v>
      </c>
      <c r="G776" s="2">
        <v>45868</v>
      </c>
      <c r="H776" s="6">
        <f t="shared" ref="H776:H783" si="32">+G776-E776</f>
        <v>13</v>
      </c>
      <c r="I776" s="6">
        <f t="shared" ref="I776:I784" si="33">G776-F776</f>
        <v>2</v>
      </c>
      <c r="J776" s="2" t="s">
        <v>31</v>
      </c>
      <c r="L776" t="s">
        <v>199</v>
      </c>
    </row>
    <row r="777" spans="1:12" x14ac:dyDescent="0.25">
      <c r="A777" s="3">
        <v>41248</v>
      </c>
      <c r="B777" s="2" t="s">
        <v>38</v>
      </c>
      <c r="C777" t="s">
        <v>50</v>
      </c>
      <c r="D777" t="s">
        <v>210</v>
      </c>
      <c r="E777" s="2">
        <v>45855</v>
      </c>
      <c r="F777" s="2" cm="1">
        <f t="array" ref="F777">_xlfn.IFS(B777="Owner Surrender",E777,B777="Stray",E777+6,B777="Stray w/identification",E777+11,B777="Bite",E777+10,B777="Other",E777+30,B777="BAS",E777+56,B777="Seized",E777)</f>
        <v>45861</v>
      </c>
      <c r="G777" s="2">
        <v>45862</v>
      </c>
      <c r="H777" s="6">
        <f t="shared" si="32"/>
        <v>7</v>
      </c>
      <c r="I777" s="6">
        <f t="shared" si="33"/>
        <v>1</v>
      </c>
      <c r="J777" s="2" t="s">
        <v>11</v>
      </c>
    </row>
    <row r="778" spans="1:12" x14ac:dyDescent="0.25">
      <c r="A778" s="3">
        <v>41249</v>
      </c>
      <c r="B778" s="2" t="s">
        <v>38</v>
      </c>
      <c r="C778" t="s">
        <v>140</v>
      </c>
      <c r="D778" t="s">
        <v>208</v>
      </c>
      <c r="E778" s="2">
        <v>45855</v>
      </c>
      <c r="F778" s="2" cm="1">
        <f t="array" ref="F778">_xlfn.IFS(B778="Owner Surrender",E778,B778="Stray",E778+6,B778="Stray w/identification",E778+11,B778="Bite",E778+10,B778="Other",E778+30,B778="BAS",E778+56,B778="Seized",E778)</f>
        <v>45861</v>
      </c>
      <c r="G778" s="2">
        <v>45874</v>
      </c>
      <c r="H778" s="6">
        <f t="shared" si="32"/>
        <v>19</v>
      </c>
      <c r="I778" s="6">
        <f t="shared" si="33"/>
        <v>13</v>
      </c>
      <c r="J778" s="2" t="s">
        <v>31</v>
      </c>
    </row>
    <row r="779" spans="1:12" x14ac:dyDescent="0.25">
      <c r="A779" s="3">
        <v>41250</v>
      </c>
      <c r="B779" s="2" t="s">
        <v>36</v>
      </c>
      <c r="C779" t="s">
        <v>72</v>
      </c>
      <c r="D779" t="s">
        <v>208</v>
      </c>
      <c r="E779" s="2">
        <v>45855</v>
      </c>
      <c r="F779" s="2" cm="1">
        <f t="array" ref="F779">_xlfn.IFS(B779="Owner Surrender",E779,B779="Stray",E779+6,B779="Stray w/identification",E779+11,B779="Bite",E779+10,B779="Other",E779+30,B779="BAS",E779+56,B779="Seized",E779)</f>
        <v>45855</v>
      </c>
      <c r="G779" s="2">
        <v>45870</v>
      </c>
      <c r="H779" s="6">
        <f t="shared" si="32"/>
        <v>15</v>
      </c>
      <c r="I779" s="6">
        <f t="shared" si="33"/>
        <v>15</v>
      </c>
      <c r="J779" s="2" t="s">
        <v>18</v>
      </c>
      <c r="K779" s="2" t="s">
        <v>102</v>
      </c>
      <c r="L779" s="2" t="s">
        <v>100</v>
      </c>
    </row>
    <row r="780" spans="1:12" x14ac:dyDescent="0.25">
      <c r="A780" s="3">
        <v>41251</v>
      </c>
      <c r="B780" s="2" t="s">
        <v>36</v>
      </c>
      <c r="C780" t="s">
        <v>90</v>
      </c>
      <c r="D780" t="s">
        <v>208</v>
      </c>
      <c r="E780" s="2">
        <v>45855</v>
      </c>
      <c r="F780" s="2" cm="1">
        <f t="array" ref="F780">_xlfn.IFS(B780="Owner Surrender",E780,B780="Stray",E780+6,B780="Stray w/identification",E780+11,B780="Bite",E780+10,B780="Other",E780+30,B780="BAS",E780+56,B780="Seized",E780)</f>
        <v>45855</v>
      </c>
      <c r="G780" s="2">
        <v>45861</v>
      </c>
      <c r="H780" s="6">
        <f t="shared" si="32"/>
        <v>6</v>
      </c>
      <c r="I780" s="6">
        <f t="shared" si="33"/>
        <v>6</v>
      </c>
      <c r="J780" s="2" t="s">
        <v>31</v>
      </c>
      <c r="K780" s="2" t="s">
        <v>154</v>
      </c>
    </row>
    <row r="781" spans="1:12" x14ac:dyDescent="0.25">
      <c r="A781" s="3">
        <v>41268</v>
      </c>
      <c r="B781" s="2" t="s">
        <v>180</v>
      </c>
      <c r="C781" t="s">
        <v>109</v>
      </c>
      <c r="D781" t="s">
        <v>208</v>
      </c>
      <c r="E781" s="2">
        <v>45857</v>
      </c>
      <c r="F781" s="2" cm="1">
        <f t="array" ref="F781">_xlfn.IFS(B781="Owner Surrender",E781,B781="Stray",E781+6,B781="Stray w/identification",E781+11,B781="Bite",E781+10,B781="Other",E781+30,B781="BAS",E781+56,B781="Seized",E781)</f>
        <v>45868</v>
      </c>
      <c r="G781" s="2">
        <v>45874</v>
      </c>
      <c r="H781" s="6">
        <f t="shared" si="32"/>
        <v>17</v>
      </c>
      <c r="I781" s="6">
        <f t="shared" si="33"/>
        <v>6</v>
      </c>
      <c r="J781" s="2" t="s">
        <v>31</v>
      </c>
    </row>
    <row r="782" spans="1:12" x14ac:dyDescent="0.25">
      <c r="A782" s="3">
        <v>41269</v>
      </c>
      <c r="B782" s="2" t="s">
        <v>38</v>
      </c>
      <c r="C782" t="s">
        <v>49</v>
      </c>
      <c r="D782" t="s">
        <v>210</v>
      </c>
      <c r="E782" s="2">
        <v>45858</v>
      </c>
      <c r="F782" s="2" cm="1">
        <f t="array" ref="F782">_xlfn.IFS(B782="Owner Surrender",E782,B782="Stray",E782+6,B782="Stray w/identification",E782+11,B782="Bite",E782+10,B782="Other",E782+30,B782="BAS",E782+56,B782="Seized",E782)</f>
        <v>45864</v>
      </c>
      <c r="G782" s="2">
        <v>45862</v>
      </c>
      <c r="H782" s="6">
        <f t="shared" si="32"/>
        <v>4</v>
      </c>
      <c r="I782" s="6">
        <f t="shared" si="33"/>
        <v>-2</v>
      </c>
      <c r="J782" s="2" t="s">
        <v>8</v>
      </c>
    </row>
    <row r="783" spans="1:12" x14ac:dyDescent="0.25">
      <c r="A783" s="3">
        <v>41272</v>
      </c>
      <c r="B783" s="2" t="s">
        <v>36</v>
      </c>
      <c r="C783" t="s">
        <v>63</v>
      </c>
      <c r="D783" t="s">
        <v>208</v>
      </c>
      <c r="E783" s="2">
        <v>45859</v>
      </c>
      <c r="F783" s="2" cm="1">
        <f t="array" ref="F783">_xlfn.IFS(B783="Owner Surrender",E783,B783="Stray",E783+6,B783="Stray w/identification",E783+11,B783="Bite",E783+10,B783="Other",E783+30,B783="BAS",E783+56,B783="Seized",E783)</f>
        <v>45859</v>
      </c>
      <c r="G783" s="2">
        <v>45875</v>
      </c>
      <c r="H783" s="6">
        <f t="shared" si="32"/>
        <v>16</v>
      </c>
      <c r="I783" s="6">
        <f t="shared" si="33"/>
        <v>16</v>
      </c>
      <c r="J783" s="2" t="s">
        <v>11</v>
      </c>
    </row>
    <row r="784" spans="1:12" x14ac:dyDescent="0.25">
      <c r="A784" s="3">
        <v>41273</v>
      </c>
      <c r="B784" s="2" t="s">
        <v>38</v>
      </c>
      <c r="C784" t="s">
        <v>79</v>
      </c>
      <c r="D784" t="s">
        <v>208</v>
      </c>
      <c r="E784" s="2">
        <v>45859</v>
      </c>
      <c r="F784" s="2" cm="1">
        <f t="array" ref="F784">_xlfn.IFS(B784="Owner Surrender",E784,B784="Stray",E784+6,B784="Stray w/identification",E784+11,B784="Bite",E784+10,B784="Other",E784+30,B784="BAS",E784+56,B784="Seized",E784)</f>
        <v>45865</v>
      </c>
      <c r="G784" s="2">
        <v>45877</v>
      </c>
      <c r="I784" s="6">
        <f t="shared" si="33"/>
        <v>12</v>
      </c>
      <c r="J784" s="2" t="s">
        <v>18</v>
      </c>
      <c r="K784" s="2" t="s">
        <v>101</v>
      </c>
      <c r="L784" s="2" t="s">
        <v>19</v>
      </c>
    </row>
    <row r="785" spans="1:12" x14ac:dyDescent="0.25">
      <c r="A785" s="3">
        <v>41284</v>
      </c>
      <c r="B785" s="2" t="s">
        <v>61</v>
      </c>
      <c r="C785" t="s">
        <v>50</v>
      </c>
      <c r="D785" t="s">
        <v>208</v>
      </c>
      <c r="E785" s="2">
        <v>45860</v>
      </c>
      <c r="F785" s="2" cm="1">
        <f t="array" ref="F785">_xlfn.IFS(B785="Owner Surrender",E785,B785="Stray",E785+6,B785="Stray w/identification",E785+11,B785="Bite",E785+10,B785="Other",E785+30,B785="BAS",E785+56,B785="Seized",E785)</f>
        <v>45890</v>
      </c>
      <c r="G785" s="2">
        <v>45878</v>
      </c>
      <c r="H785" s="6">
        <f t="shared" ref="H785:H806" si="34">+G785-E785</f>
        <v>18</v>
      </c>
      <c r="J785" s="2" t="s">
        <v>8</v>
      </c>
      <c r="L785" t="s">
        <v>80</v>
      </c>
    </row>
    <row r="786" spans="1:12" x14ac:dyDescent="0.25">
      <c r="A786" s="3">
        <v>41285</v>
      </c>
      <c r="B786" s="2" t="s">
        <v>61</v>
      </c>
      <c r="C786" t="s">
        <v>76</v>
      </c>
      <c r="D786" t="s">
        <v>208</v>
      </c>
      <c r="E786" s="2">
        <v>45860</v>
      </c>
      <c r="F786" s="2" cm="1">
        <f t="array" ref="F786">_xlfn.IFS(B786="Owner Surrender",E786,B786="Stray",E786+6,B786="Stray w/identification",E786+11,B786="Bite",E786+10,B786="Other",E786+30,B786="BAS",E786+56,B786="Seized",E786)</f>
        <v>45890</v>
      </c>
      <c r="G786" s="2">
        <v>45878</v>
      </c>
      <c r="H786" s="6">
        <f t="shared" si="34"/>
        <v>18</v>
      </c>
      <c r="J786" s="2" t="s">
        <v>31</v>
      </c>
      <c r="L786" t="s">
        <v>80</v>
      </c>
    </row>
    <row r="787" spans="1:12" x14ac:dyDescent="0.25">
      <c r="A787" s="3">
        <v>41286</v>
      </c>
      <c r="B787" s="2" t="s">
        <v>61</v>
      </c>
      <c r="C787" t="s">
        <v>50</v>
      </c>
      <c r="D787" t="s">
        <v>208</v>
      </c>
      <c r="E787" s="2">
        <v>45860</v>
      </c>
      <c r="F787" s="2" cm="1">
        <f t="array" ref="F787">_xlfn.IFS(B787="Owner Surrender",E787,B787="Stray",E787+6,B787="Stray w/identification",E787+11,B787="Bite",E787+10,B787="Other",E787+30,B787="BAS",E787+56,B787="Seized",E787)</f>
        <v>45890</v>
      </c>
      <c r="G787" s="2">
        <v>45878</v>
      </c>
      <c r="H787" s="6">
        <f t="shared" si="34"/>
        <v>18</v>
      </c>
      <c r="J787" s="2" t="s">
        <v>8</v>
      </c>
      <c r="L787" s="2" t="s">
        <v>80</v>
      </c>
    </row>
    <row r="788" spans="1:12" x14ac:dyDescent="0.25">
      <c r="A788" s="3">
        <v>41287</v>
      </c>
      <c r="B788" s="2" t="s">
        <v>61</v>
      </c>
      <c r="C788" t="s">
        <v>83</v>
      </c>
      <c r="D788" t="s">
        <v>208</v>
      </c>
      <c r="E788" s="2">
        <v>45860</v>
      </c>
      <c r="F788" s="2" cm="1">
        <f t="array" ref="F788">_xlfn.IFS(B788="Owner Surrender",E788,B788="Stray",E788+6,B788="Stray w/identification",E788+11,B788="Bite",E788+10,B788="Other",E788+30,B788="BAS",E788+56,B788="Seized",E788)</f>
        <v>45890</v>
      </c>
      <c r="G788" s="2">
        <v>45878</v>
      </c>
      <c r="H788" s="6">
        <f t="shared" si="34"/>
        <v>18</v>
      </c>
      <c r="J788" s="2" t="s">
        <v>8</v>
      </c>
      <c r="L788" t="s">
        <v>80</v>
      </c>
    </row>
    <row r="789" spans="1:12" x14ac:dyDescent="0.25">
      <c r="A789" s="3">
        <v>41288</v>
      </c>
      <c r="B789" s="2" t="s">
        <v>61</v>
      </c>
      <c r="C789" t="s">
        <v>83</v>
      </c>
      <c r="D789" t="s">
        <v>208</v>
      </c>
      <c r="E789" s="2">
        <v>45860</v>
      </c>
      <c r="F789" s="2" cm="1">
        <f t="array" ref="F789">_xlfn.IFS(B789="Owner Surrender",E789,B789="Stray",E789+6,B789="Stray w/identification",E789+11,B789="Bite",E789+10,B789="Other",E789+30,B789="BAS",E789+56,B789="Seized",E789)</f>
        <v>45890</v>
      </c>
      <c r="G789" s="2">
        <v>45878</v>
      </c>
      <c r="H789" s="6">
        <f t="shared" si="34"/>
        <v>18</v>
      </c>
      <c r="J789" s="2" t="s">
        <v>8</v>
      </c>
      <c r="L789" t="s">
        <v>80</v>
      </c>
    </row>
    <row r="790" spans="1:12" x14ac:dyDescent="0.25">
      <c r="A790" s="3">
        <v>41290</v>
      </c>
      <c r="B790" s="2" t="s">
        <v>61</v>
      </c>
      <c r="C790" t="s">
        <v>50</v>
      </c>
      <c r="D790" t="s">
        <v>208</v>
      </c>
      <c r="E790" s="2">
        <v>45860</v>
      </c>
      <c r="F790" s="2" cm="1">
        <f t="array" ref="F790">_xlfn.IFS(B790="Owner Surrender",E790,B790="Stray",E790+6,B790="Stray w/identification",E790+11,B790="Bite",E790+10,B790="Other",E790+30,B790="BAS",E790+56,B790="Seized",E790)</f>
        <v>45890</v>
      </c>
      <c r="G790" s="2">
        <v>45874</v>
      </c>
      <c r="H790" s="6">
        <f t="shared" si="34"/>
        <v>14</v>
      </c>
      <c r="J790" s="2" t="s">
        <v>31</v>
      </c>
    </row>
    <row r="791" spans="1:12" x14ac:dyDescent="0.25">
      <c r="A791" s="3">
        <v>41291</v>
      </c>
      <c r="B791" s="2" t="s">
        <v>61</v>
      </c>
      <c r="C791" t="s">
        <v>50</v>
      </c>
      <c r="D791" t="s">
        <v>209</v>
      </c>
      <c r="E791" s="2">
        <v>45860</v>
      </c>
      <c r="F791" s="2" cm="1">
        <f t="array" ref="F791">_xlfn.IFS(B791="Owner Surrender",E791,B791="Stray",E791+6,B791="Stray w/identification",E791+11,B791="Bite",E791+10,B791="Other",E791+30,B791="BAS",E791+56,B791="Seized",E791)</f>
        <v>45890</v>
      </c>
      <c r="G791" s="2">
        <v>45876</v>
      </c>
      <c r="H791" s="6">
        <f t="shared" si="34"/>
        <v>16</v>
      </c>
      <c r="J791" s="2" t="s">
        <v>11</v>
      </c>
    </row>
    <row r="792" spans="1:12" x14ac:dyDescent="0.25">
      <c r="A792" s="3">
        <v>41292</v>
      </c>
      <c r="B792" s="2" t="s">
        <v>61</v>
      </c>
      <c r="C792" t="s">
        <v>50</v>
      </c>
      <c r="D792" t="s">
        <v>209</v>
      </c>
      <c r="E792" s="2">
        <v>45860</v>
      </c>
      <c r="F792" s="2" cm="1">
        <f t="array" ref="F792">_xlfn.IFS(B792="Owner Surrender",E792,B792="Stray",E792+6,B792="Stray w/identification",E792+11,B792="Bite",E792+10,B792="Other",E792+30,B792="BAS",E792+56,B792="Seized",E792)</f>
        <v>45890</v>
      </c>
      <c r="G792" s="2">
        <v>45874</v>
      </c>
      <c r="H792" s="6">
        <f t="shared" si="34"/>
        <v>14</v>
      </c>
      <c r="J792" s="2" t="s">
        <v>31</v>
      </c>
    </row>
    <row r="793" spans="1:12" x14ac:dyDescent="0.25">
      <c r="A793" s="3">
        <v>41293</v>
      </c>
      <c r="B793" s="2" t="s">
        <v>61</v>
      </c>
      <c r="C793" t="s">
        <v>50</v>
      </c>
      <c r="D793" t="s">
        <v>209</v>
      </c>
      <c r="E793" s="2">
        <v>45860</v>
      </c>
      <c r="F793" s="2" cm="1">
        <f t="array" ref="F793">_xlfn.IFS(B793="Owner Surrender",E793,B793="Stray",E793+6,B793="Stray w/identification",E793+11,B793="Bite",E793+10,B793="Other",E793+30,B793="BAS",E793+56,B793="Seized",E793)</f>
        <v>45890</v>
      </c>
      <c r="G793" s="2">
        <v>45874</v>
      </c>
      <c r="H793" s="6">
        <f t="shared" si="34"/>
        <v>14</v>
      </c>
      <c r="J793" s="2" t="s">
        <v>31</v>
      </c>
    </row>
    <row r="794" spans="1:12" x14ac:dyDescent="0.25">
      <c r="A794" s="3">
        <v>41294</v>
      </c>
      <c r="B794" s="2" t="s">
        <v>61</v>
      </c>
      <c r="C794" t="s">
        <v>50</v>
      </c>
      <c r="D794" t="s">
        <v>209</v>
      </c>
      <c r="E794" s="2">
        <v>45860</v>
      </c>
      <c r="F794" s="2" cm="1">
        <f t="array" ref="F794">_xlfn.IFS(B794="Owner Surrender",E794,B794="Stray",E794+6,B794="Stray w/identification",E794+11,B794="Bite",E794+10,B794="Other",E794+30,B794="BAS",E794+56,B794="Seized",E794)</f>
        <v>45890</v>
      </c>
      <c r="G794" s="2">
        <v>45874</v>
      </c>
      <c r="H794" s="6">
        <f t="shared" si="34"/>
        <v>14</v>
      </c>
      <c r="J794" s="2" t="s">
        <v>31</v>
      </c>
    </row>
    <row r="795" spans="1:12" x14ac:dyDescent="0.25">
      <c r="A795" s="3">
        <v>41295</v>
      </c>
      <c r="B795" s="2" t="s">
        <v>36</v>
      </c>
      <c r="C795" t="s">
        <v>160</v>
      </c>
      <c r="D795" t="s">
        <v>211</v>
      </c>
      <c r="E795" s="2">
        <v>45860</v>
      </c>
      <c r="F795" s="2" cm="1">
        <f t="array" ref="F795">_xlfn.IFS(B795="Owner Surrender",E795,B795="Stray",E795+6,B795="Stray w/identification",E795+11,B795="Bite",E795+10,B795="Other",E795+30,B795="BAS",E795+56,B795="Seized",E795)</f>
        <v>45860</v>
      </c>
      <c r="G795" s="2">
        <v>45861</v>
      </c>
      <c r="H795" s="6">
        <f t="shared" si="34"/>
        <v>1</v>
      </c>
      <c r="I795" s="6">
        <f t="shared" ref="I795:I806" si="35">G795-F795</f>
        <v>1</v>
      </c>
      <c r="J795" s="2" t="s">
        <v>31</v>
      </c>
      <c r="L795" t="s">
        <v>66</v>
      </c>
    </row>
    <row r="796" spans="1:12" x14ac:dyDescent="0.25">
      <c r="A796" s="3">
        <v>41296</v>
      </c>
      <c r="B796" s="2" t="s">
        <v>36</v>
      </c>
      <c r="C796" t="s">
        <v>161</v>
      </c>
      <c r="D796" t="s">
        <v>208</v>
      </c>
      <c r="E796" s="2">
        <v>45860</v>
      </c>
      <c r="F796" s="2" cm="1">
        <f t="array" ref="F796">_xlfn.IFS(B796="Owner Surrender",E796,B796="Stray",E796+6,B796="Stray w/identification",E796+11,B796="Bite",E796+10,B796="Other",E796+30,B796="BAS",E796+56,B796="Seized",E796)</f>
        <v>45860</v>
      </c>
      <c r="G796" s="2">
        <v>45866</v>
      </c>
      <c r="H796" s="6">
        <f t="shared" si="34"/>
        <v>6</v>
      </c>
      <c r="I796" s="6">
        <f t="shared" si="35"/>
        <v>6</v>
      </c>
      <c r="J796" s="2" t="s">
        <v>31</v>
      </c>
    </row>
    <row r="797" spans="1:12" x14ac:dyDescent="0.25">
      <c r="A797" s="3">
        <v>41297</v>
      </c>
      <c r="B797" s="2" t="s">
        <v>36</v>
      </c>
      <c r="C797" t="s">
        <v>161</v>
      </c>
      <c r="D797" t="s">
        <v>208</v>
      </c>
      <c r="E797" s="2">
        <v>45860</v>
      </c>
      <c r="F797" s="2" cm="1">
        <f t="array" ref="F797">_xlfn.IFS(B797="Owner Surrender",E797,B797="Stray",E797+6,B797="Stray w/identification",E797+11,B797="Bite",E797+10,B797="Other",E797+30,B797="BAS",E797+56,B797="Seized",E797)</f>
        <v>45860</v>
      </c>
      <c r="G797" s="2">
        <v>45861</v>
      </c>
      <c r="H797" s="6">
        <f t="shared" si="34"/>
        <v>1</v>
      </c>
      <c r="I797" s="6">
        <f t="shared" si="35"/>
        <v>1</v>
      </c>
      <c r="J797" s="2" t="s">
        <v>31</v>
      </c>
    </row>
    <row r="798" spans="1:12" x14ac:dyDescent="0.25">
      <c r="A798" s="3">
        <v>41298</v>
      </c>
      <c r="B798" s="2" t="s">
        <v>36</v>
      </c>
      <c r="C798" t="s">
        <v>161</v>
      </c>
      <c r="D798" t="s">
        <v>209</v>
      </c>
      <c r="E798" s="2">
        <v>45860</v>
      </c>
      <c r="F798" s="2" cm="1">
        <f t="array" ref="F798">_xlfn.IFS(B798="Owner Surrender",E798,B798="Stray",E798+6,B798="Stray w/identification",E798+11,B798="Bite",E798+10,B798="Other",E798+30,B798="BAS",E798+56,B798="Seized",E798)</f>
        <v>45860</v>
      </c>
      <c r="G798" s="2">
        <v>45862</v>
      </c>
      <c r="H798" s="6">
        <f t="shared" si="34"/>
        <v>2</v>
      </c>
      <c r="I798" s="6">
        <f t="shared" si="35"/>
        <v>2</v>
      </c>
      <c r="J798" s="2" t="s">
        <v>31</v>
      </c>
    </row>
    <row r="799" spans="1:12" x14ac:dyDescent="0.25">
      <c r="A799" s="3">
        <v>41299</v>
      </c>
      <c r="B799" s="2" t="s">
        <v>36</v>
      </c>
      <c r="C799" t="s">
        <v>161</v>
      </c>
      <c r="D799" t="s">
        <v>209</v>
      </c>
      <c r="E799" s="2">
        <v>45860</v>
      </c>
      <c r="F799" s="2" cm="1">
        <f t="array" ref="F799">_xlfn.IFS(B799="Owner Surrender",E799,B799="Stray",E799+6,B799="Stray w/identification",E799+11,B799="Bite",E799+10,B799="Other",E799+30,B799="BAS",E799+56,B799="Seized",E799)</f>
        <v>45860</v>
      </c>
      <c r="G799" s="2">
        <v>45862</v>
      </c>
      <c r="H799" s="6">
        <f t="shared" si="34"/>
        <v>2</v>
      </c>
      <c r="I799" s="6">
        <f t="shared" si="35"/>
        <v>2</v>
      </c>
      <c r="J799" s="2" t="s">
        <v>31</v>
      </c>
    </row>
    <row r="800" spans="1:12" x14ac:dyDescent="0.25">
      <c r="A800" s="3">
        <v>41300</v>
      </c>
      <c r="B800" s="2" t="s">
        <v>36</v>
      </c>
      <c r="C800" t="s">
        <v>161</v>
      </c>
      <c r="D800" t="s">
        <v>209</v>
      </c>
      <c r="E800" s="2">
        <v>45860</v>
      </c>
      <c r="F800" s="2" cm="1">
        <f t="array" ref="F800">_xlfn.IFS(B800="Owner Surrender",E800,B800="Stray",E800+6,B800="Stray w/identification",E800+11,B800="Bite",E800+10,B800="Other",E800+30,B800="BAS",E800+56,B800="Seized",E800)</f>
        <v>45860</v>
      </c>
      <c r="G800" s="2">
        <v>45862</v>
      </c>
      <c r="H800" s="6">
        <f t="shared" si="34"/>
        <v>2</v>
      </c>
      <c r="I800" s="6">
        <f t="shared" si="35"/>
        <v>2</v>
      </c>
      <c r="J800" s="2" t="s">
        <v>31</v>
      </c>
    </row>
    <row r="801" spans="1:12" x14ac:dyDescent="0.25">
      <c r="A801" s="3">
        <v>41301</v>
      </c>
      <c r="B801" s="2" t="s">
        <v>36</v>
      </c>
      <c r="C801" t="s">
        <v>161</v>
      </c>
      <c r="D801" t="s">
        <v>209</v>
      </c>
      <c r="E801" s="2">
        <v>45860</v>
      </c>
      <c r="F801" s="2" cm="1">
        <f t="array" ref="F801">_xlfn.IFS(B801="Owner Surrender",E801,B801="Stray",E801+6,B801="Stray w/identification",E801+11,B801="Bite",E801+10,B801="Other",E801+30,B801="BAS",E801+56,B801="Seized",E801)</f>
        <v>45860</v>
      </c>
      <c r="G801" s="2">
        <v>45862</v>
      </c>
      <c r="H801" s="6">
        <f t="shared" si="34"/>
        <v>2</v>
      </c>
      <c r="I801" s="6">
        <f t="shared" si="35"/>
        <v>2</v>
      </c>
      <c r="J801" s="2" t="s">
        <v>31</v>
      </c>
    </row>
    <row r="802" spans="1:12" x14ac:dyDescent="0.25">
      <c r="A802" s="3">
        <v>41302</v>
      </c>
      <c r="B802" s="2" t="s">
        <v>36</v>
      </c>
      <c r="C802" t="s">
        <v>161</v>
      </c>
      <c r="D802" t="s">
        <v>209</v>
      </c>
      <c r="E802" s="2">
        <v>45860</v>
      </c>
      <c r="F802" s="2" cm="1">
        <f t="array" ref="F802">_xlfn.IFS(B802="Owner Surrender",E802,B802="Stray",E802+6,B802="Stray w/identification",E802+11,B802="Bite",E802+10,B802="Other",E802+30,B802="BAS",E802+56,B802="Seized",E802)</f>
        <v>45860</v>
      </c>
      <c r="G802" s="2">
        <v>45862</v>
      </c>
      <c r="H802" s="6">
        <f t="shared" si="34"/>
        <v>2</v>
      </c>
      <c r="I802" s="6">
        <f t="shared" si="35"/>
        <v>2</v>
      </c>
      <c r="J802" s="2" t="s">
        <v>31</v>
      </c>
    </row>
    <row r="803" spans="1:12" x14ac:dyDescent="0.25">
      <c r="A803" s="3">
        <v>41303</v>
      </c>
      <c r="B803" s="2" t="s">
        <v>180</v>
      </c>
      <c r="C803" t="s">
        <v>83</v>
      </c>
      <c r="D803" t="s">
        <v>208</v>
      </c>
      <c r="E803" s="2">
        <v>45860</v>
      </c>
      <c r="F803" s="2" cm="1">
        <f t="array" ref="F803">_xlfn.IFS(B803="Owner Surrender",E803,B803="Stray",E803+6,B803="Stray w/identification",E803+11,B803="Bite",E803+10,B803="Other",E803+30,B803="BAS",E803+56,B803="Seized",E803)</f>
        <v>45871</v>
      </c>
      <c r="G803" s="2">
        <v>45861</v>
      </c>
      <c r="H803" s="6">
        <f t="shared" si="34"/>
        <v>1</v>
      </c>
      <c r="I803" s="6">
        <f t="shared" si="35"/>
        <v>-10</v>
      </c>
      <c r="J803" s="2" t="s">
        <v>8</v>
      </c>
    </row>
    <row r="804" spans="1:12" x14ac:dyDescent="0.25">
      <c r="A804" s="3">
        <v>41304</v>
      </c>
      <c r="B804" s="2" t="s">
        <v>180</v>
      </c>
      <c r="C804" t="s">
        <v>49</v>
      </c>
      <c r="D804" t="s">
        <v>208</v>
      </c>
      <c r="E804" s="2">
        <v>45860</v>
      </c>
      <c r="F804" s="2" cm="1">
        <f t="array" ref="F804">_xlfn.IFS(B804="Owner Surrender",E804,B804="Stray",E804+6,B804="Stray w/identification",E804+11,B804="Bite",E804+10,B804="Other",E804+30,B804="BAS",E804+56,B804="Seized",E804)</f>
        <v>45871</v>
      </c>
      <c r="G804" s="2">
        <v>45861</v>
      </c>
      <c r="H804" s="6">
        <f t="shared" si="34"/>
        <v>1</v>
      </c>
      <c r="I804" s="6">
        <f t="shared" si="35"/>
        <v>-10</v>
      </c>
      <c r="J804" s="2" t="s">
        <v>18</v>
      </c>
      <c r="L804" t="s">
        <v>200</v>
      </c>
    </row>
    <row r="805" spans="1:12" x14ac:dyDescent="0.25">
      <c r="A805" s="3">
        <v>41306</v>
      </c>
      <c r="B805" s="2" t="s">
        <v>36</v>
      </c>
      <c r="C805" t="s">
        <v>162</v>
      </c>
      <c r="D805" t="s">
        <v>208</v>
      </c>
      <c r="E805" s="2">
        <v>45861</v>
      </c>
      <c r="F805" s="2" cm="1">
        <f t="array" ref="F805">_xlfn.IFS(B805="Owner Surrender",E805,B805="Stray",E805+6,B805="Stray w/identification",E805+11,B805="Bite",E805+10,B805="Other",E805+30,B805="BAS",E805+56,B805="Seized",E805)</f>
        <v>45861</v>
      </c>
      <c r="G805" s="2">
        <v>45862</v>
      </c>
      <c r="H805" s="6">
        <f t="shared" si="34"/>
        <v>1</v>
      </c>
      <c r="I805" s="6">
        <f t="shared" si="35"/>
        <v>1</v>
      </c>
      <c r="J805" s="2" t="s">
        <v>31</v>
      </c>
      <c r="L805" t="s">
        <v>163</v>
      </c>
    </row>
    <row r="806" spans="1:12" x14ac:dyDescent="0.25">
      <c r="A806" s="3">
        <v>41308</v>
      </c>
      <c r="B806" s="2" t="s">
        <v>36</v>
      </c>
      <c r="C806" t="s">
        <v>56</v>
      </c>
      <c r="D806" t="s">
        <v>209</v>
      </c>
      <c r="E806" s="2">
        <v>45862</v>
      </c>
      <c r="F806" s="2" cm="1">
        <f t="array" ref="F806">_xlfn.IFS(B806="Owner Surrender",E806,B806="Stray",E806+6,B806="Stray w/identification",E806+11,B806="Bite",E806+10,B806="Other",E806+30,B806="BAS",E806+56,B806="Seized",E806)</f>
        <v>45862</v>
      </c>
      <c r="G806" s="2">
        <v>45873</v>
      </c>
      <c r="H806" s="6">
        <f t="shared" si="34"/>
        <v>11</v>
      </c>
      <c r="I806" s="6">
        <f t="shared" si="35"/>
        <v>11</v>
      </c>
      <c r="J806" s="2" t="s">
        <v>11</v>
      </c>
    </row>
    <row r="807" spans="1:12" x14ac:dyDescent="0.25">
      <c r="A807" s="3">
        <v>41309</v>
      </c>
      <c r="B807" s="2" t="s">
        <v>180</v>
      </c>
      <c r="C807" t="s">
        <v>57</v>
      </c>
      <c r="D807" t="s">
        <v>208</v>
      </c>
      <c r="E807" s="2">
        <v>45862</v>
      </c>
      <c r="F807" s="2" cm="1">
        <f t="array" ref="F807">_xlfn.IFS(B807="Owner Surrender",E807,B807="Stray",E807+6,B807="Stray w/identification",E807+11,B807="Bite",E807+10,B807="Other",E807+30,B807="BAS",E807+56,B807="Seized",E807)</f>
        <v>45873</v>
      </c>
      <c r="J807" s="2" t="s">
        <v>21</v>
      </c>
      <c r="L807" s="2" t="s">
        <v>190</v>
      </c>
    </row>
    <row r="808" spans="1:12" x14ac:dyDescent="0.25">
      <c r="A808" s="3">
        <v>41318</v>
      </c>
      <c r="B808" s="2" t="s">
        <v>180</v>
      </c>
      <c r="C808" t="s">
        <v>165</v>
      </c>
      <c r="D808" t="s">
        <v>209</v>
      </c>
      <c r="E808" s="2">
        <v>45862</v>
      </c>
      <c r="F808" s="2" cm="1">
        <f t="array" ref="F808">_xlfn.IFS(B808="Owner Surrender",E808,B808="Stray",E808+6,B808="Stray w/identification",E808+11,B808="Bite",E808+10,B808="Other",E808+30,B808="BAS",E808+56,B808="Seized",E808)</f>
        <v>45873</v>
      </c>
      <c r="G808" s="2">
        <v>45882</v>
      </c>
      <c r="H808" s="6">
        <f>+G808-E808</f>
        <v>20</v>
      </c>
      <c r="I808" s="6">
        <f>G808-F808</f>
        <v>9</v>
      </c>
      <c r="J808" s="2" t="s">
        <v>31</v>
      </c>
      <c r="K808" s="2" t="s">
        <v>166</v>
      </c>
      <c r="L808" t="s">
        <v>201</v>
      </c>
    </row>
    <row r="809" spans="1:12" x14ac:dyDescent="0.25">
      <c r="A809" s="3">
        <v>41320</v>
      </c>
      <c r="B809" s="2" t="s">
        <v>38</v>
      </c>
      <c r="C809" t="s">
        <v>73</v>
      </c>
      <c r="D809" t="s">
        <v>208</v>
      </c>
      <c r="E809" s="2">
        <v>45863</v>
      </c>
      <c r="F809" s="2" cm="1">
        <f t="array" ref="F809">_xlfn.IFS(B809="Owner Surrender",E809,B809="Stray",E809+6,B809="Stray w/identification",E809+11,B809="Bite",E809+10,B809="Other",E809+30,B809="BAS",E809+56,B809="Seized",E809)</f>
        <v>45869</v>
      </c>
      <c r="G809" s="2">
        <v>45870</v>
      </c>
      <c r="H809" s="6">
        <f>+G809-E809</f>
        <v>7</v>
      </c>
      <c r="I809" s="6">
        <f>G809-F809</f>
        <v>1</v>
      </c>
      <c r="J809" s="2" t="s">
        <v>18</v>
      </c>
      <c r="L809" s="2" t="s">
        <v>100</v>
      </c>
    </row>
    <row r="810" spans="1:12" x14ac:dyDescent="0.25">
      <c r="A810" s="3">
        <v>41321</v>
      </c>
      <c r="B810" s="2" t="s">
        <v>61</v>
      </c>
      <c r="C810" t="s">
        <v>49</v>
      </c>
      <c r="D810" t="s">
        <v>208</v>
      </c>
      <c r="E810" s="2">
        <v>45863</v>
      </c>
      <c r="F810" s="2" cm="1">
        <f t="array" ref="F810">_xlfn.IFS(B810="Owner Surrender",E810,B810="Stray",E810+6,B810="Stray w/identification",E810+11,B810="Bite",E810+10,B810="Other",E810+30,B810="BAS",E810+56,B810="Seized",E810)</f>
        <v>45893</v>
      </c>
      <c r="J810" s="2" t="s">
        <v>21</v>
      </c>
      <c r="L810" s="2"/>
    </row>
    <row r="811" spans="1:12" x14ac:dyDescent="0.25">
      <c r="A811" s="3">
        <v>41326</v>
      </c>
      <c r="B811" s="2" t="s">
        <v>36</v>
      </c>
      <c r="C811" t="s">
        <v>103</v>
      </c>
      <c r="D811" t="s">
        <v>210</v>
      </c>
      <c r="E811" s="2">
        <v>45864</v>
      </c>
      <c r="F811" s="2" cm="1">
        <f t="array" ref="F811">_xlfn.IFS(B811="Owner Surrender",E811,B811="Stray",E811+6,B811="Stray w/identification",E811+11,B811="Bite",E811+10,B811="Other",E811+30,B811="BAS",E811+56,B811="Seized",E811)</f>
        <v>45864</v>
      </c>
      <c r="G811" s="2">
        <v>45870</v>
      </c>
      <c r="H811" s="6">
        <f t="shared" ref="H811:H842" si="36">+G811-E811</f>
        <v>6</v>
      </c>
      <c r="I811" s="6">
        <f t="shared" ref="I811:I842" si="37">G811-F811</f>
        <v>6</v>
      </c>
      <c r="J811" s="2" t="s">
        <v>18</v>
      </c>
      <c r="L811" s="2" t="s">
        <v>100</v>
      </c>
    </row>
    <row r="812" spans="1:12" x14ac:dyDescent="0.25">
      <c r="A812" s="3">
        <v>41329</v>
      </c>
      <c r="B812" s="2" t="s">
        <v>36</v>
      </c>
      <c r="C812" t="s">
        <v>71</v>
      </c>
      <c r="D812" t="s">
        <v>209</v>
      </c>
      <c r="E812" s="2">
        <v>45864</v>
      </c>
      <c r="F812" s="2" cm="1">
        <f t="array" ref="F812">_xlfn.IFS(B812="Owner Surrender",E812,B812="Stray",E812+6,B812="Stray w/identification",E812+11,B812="Bite",E812+10,B812="Other",E812+30,B812="BAS",E812+56,B812="Seized",E812)</f>
        <v>45864</v>
      </c>
      <c r="G812" s="2">
        <v>45866</v>
      </c>
      <c r="H812" s="6">
        <f t="shared" si="36"/>
        <v>2</v>
      </c>
      <c r="I812" s="6">
        <f t="shared" si="37"/>
        <v>2</v>
      </c>
      <c r="J812" s="2" t="s">
        <v>31</v>
      </c>
      <c r="L812" t="s">
        <v>67</v>
      </c>
    </row>
    <row r="813" spans="1:12" x14ac:dyDescent="0.25">
      <c r="A813" s="3">
        <v>41330</v>
      </c>
      <c r="B813" s="2" t="s">
        <v>36</v>
      </c>
      <c r="C813" t="s">
        <v>71</v>
      </c>
      <c r="D813" t="s">
        <v>209</v>
      </c>
      <c r="E813" s="2">
        <v>45864</v>
      </c>
      <c r="F813" s="2" cm="1">
        <f t="array" ref="F813">_xlfn.IFS(B813="Owner Surrender",E813,B813="Stray",E813+6,B813="Stray w/identification",E813+11,B813="Bite",E813+10,B813="Other",E813+30,B813="BAS",E813+56,B813="Seized",E813)</f>
        <v>45864</v>
      </c>
      <c r="G813" s="2">
        <v>45866</v>
      </c>
      <c r="H813" s="6">
        <f t="shared" si="36"/>
        <v>2</v>
      </c>
      <c r="I813" s="6">
        <f t="shared" si="37"/>
        <v>2</v>
      </c>
      <c r="J813" s="2" t="s">
        <v>31</v>
      </c>
      <c r="L813" t="s">
        <v>67</v>
      </c>
    </row>
    <row r="814" spans="1:12" x14ac:dyDescent="0.25">
      <c r="A814" s="3">
        <v>41331</v>
      </c>
      <c r="B814" s="2" t="s">
        <v>36</v>
      </c>
      <c r="C814" t="s">
        <v>71</v>
      </c>
      <c r="D814" t="s">
        <v>209</v>
      </c>
      <c r="E814" s="2">
        <v>45864</v>
      </c>
      <c r="F814" s="2" cm="1">
        <f t="array" ref="F814">_xlfn.IFS(B814="Owner Surrender",E814,B814="Stray",E814+6,B814="Stray w/identification",E814+11,B814="Bite",E814+10,B814="Other",E814+30,B814="BAS",E814+56,B814="Seized",E814)</f>
        <v>45864</v>
      </c>
      <c r="G814" s="2">
        <v>45866</v>
      </c>
      <c r="H814" s="6">
        <f t="shared" si="36"/>
        <v>2</v>
      </c>
      <c r="I814" s="6">
        <f t="shared" si="37"/>
        <v>2</v>
      </c>
      <c r="J814" s="2" t="s">
        <v>31</v>
      </c>
      <c r="L814" t="s">
        <v>67</v>
      </c>
    </row>
    <row r="815" spans="1:12" x14ac:dyDescent="0.25">
      <c r="A815" s="3">
        <v>41334</v>
      </c>
      <c r="B815" s="2" t="s">
        <v>38</v>
      </c>
      <c r="C815" t="s">
        <v>62</v>
      </c>
      <c r="D815" t="s">
        <v>210</v>
      </c>
      <c r="E815" s="2">
        <v>45865</v>
      </c>
      <c r="F815" s="2" cm="1">
        <f t="array" ref="F815">_xlfn.IFS(B815="Owner Surrender",E815,B815="Stray",E815+6,B815="Stray w/identification",E815+11,B815="Bite",E815+10,B815="Other",E815+30,B815="BAS",E815+56,B815="Seized",E815)</f>
        <v>45871</v>
      </c>
      <c r="G815" s="2">
        <v>45874</v>
      </c>
      <c r="H815" s="6">
        <f t="shared" si="36"/>
        <v>9</v>
      </c>
      <c r="I815" s="6">
        <f t="shared" si="37"/>
        <v>3</v>
      </c>
      <c r="J815" s="2" t="s">
        <v>31</v>
      </c>
    </row>
    <row r="816" spans="1:12" x14ac:dyDescent="0.25">
      <c r="A816" s="3">
        <v>41335</v>
      </c>
      <c r="B816" s="2" t="s">
        <v>38</v>
      </c>
      <c r="C816" t="s">
        <v>62</v>
      </c>
      <c r="D816" t="s">
        <v>210</v>
      </c>
      <c r="E816" s="2">
        <v>45865</v>
      </c>
      <c r="F816" s="2" cm="1">
        <f t="array" ref="F816">_xlfn.IFS(B816="Owner Surrender",E816,B816="Stray",E816+6,B816="Stray w/identification",E816+11,B816="Bite",E816+10,B816="Other",E816+30,B816="BAS",E816+56,B816="Seized",E816)</f>
        <v>45871</v>
      </c>
      <c r="G816" s="2">
        <v>45874</v>
      </c>
      <c r="H816" s="6">
        <f t="shared" si="36"/>
        <v>9</v>
      </c>
      <c r="I816" s="6">
        <f t="shared" si="37"/>
        <v>3</v>
      </c>
      <c r="J816" s="2" t="s">
        <v>11</v>
      </c>
    </row>
    <row r="817" spans="1:12" x14ac:dyDescent="0.25">
      <c r="A817" s="3">
        <v>41338</v>
      </c>
      <c r="B817" s="2" t="s">
        <v>36</v>
      </c>
      <c r="C817" t="s">
        <v>168</v>
      </c>
      <c r="D817" t="s">
        <v>211</v>
      </c>
      <c r="E817" s="2">
        <v>45866</v>
      </c>
      <c r="F817" s="2" cm="1">
        <f t="array" ref="F817">_xlfn.IFS(B817="Owner Surrender",E817,B817="Stray",E817+6,B817="Stray w/identification",E817+11,B817="Bite",E817+10,B817="Other",E817+30,B817="BAS",E817+56,B817="Seized",E817)</f>
        <v>45866</v>
      </c>
      <c r="G817" s="2">
        <v>45876</v>
      </c>
      <c r="H817" s="6">
        <f t="shared" si="36"/>
        <v>10</v>
      </c>
      <c r="I817" s="6">
        <f t="shared" si="37"/>
        <v>10</v>
      </c>
      <c r="J817" s="2" t="s">
        <v>31</v>
      </c>
      <c r="K817" s="2" t="s">
        <v>169</v>
      </c>
    </row>
    <row r="818" spans="1:12" x14ac:dyDescent="0.25">
      <c r="A818" s="3">
        <v>41339</v>
      </c>
      <c r="B818" s="2" t="s">
        <v>36</v>
      </c>
      <c r="C818" t="s">
        <v>170</v>
      </c>
      <c r="D818" t="s">
        <v>208</v>
      </c>
      <c r="E818" s="2">
        <v>45866</v>
      </c>
      <c r="F818" s="2" cm="1">
        <f t="array" ref="F818">_xlfn.IFS(B818="Owner Surrender",E818,B818="Stray",E818+6,B818="Stray w/identification",E818+11,B818="Bite",E818+10,B818="Other",E818+30,B818="BAS",E818+56,B818="Seized",E818)</f>
        <v>45866</v>
      </c>
      <c r="G818" s="2">
        <v>45870</v>
      </c>
      <c r="H818" s="6">
        <f t="shared" si="36"/>
        <v>4</v>
      </c>
      <c r="I818" s="6">
        <f t="shared" si="37"/>
        <v>4</v>
      </c>
      <c r="J818" s="2" t="s">
        <v>31</v>
      </c>
      <c r="K818" s="2" t="s">
        <v>171</v>
      </c>
    </row>
    <row r="819" spans="1:12" x14ac:dyDescent="0.25">
      <c r="A819" s="3">
        <v>41342</v>
      </c>
      <c r="B819" s="2" t="s">
        <v>38</v>
      </c>
      <c r="C819" t="s">
        <v>172</v>
      </c>
      <c r="D819" t="s">
        <v>208</v>
      </c>
      <c r="E819" s="2">
        <v>45866</v>
      </c>
      <c r="F819" s="2" cm="1">
        <f t="array" ref="F819">_xlfn.IFS(B819="Owner Surrender",E819,B819="Stray",E819+6,B819="Stray w/identification",E819+11,B819="Bite",E819+10,B819="Other",E819+30,B819="BAS",E819+56,B819="Seized",E819)</f>
        <v>45872</v>
      </c>
      <c r="G819" s="2">
        <v>45877</v>
      </c>
      <c r="H819" s="6">
        <f t="shared" si="36"/>
        <v>11</v>
      </c>
      <c r="I819" s="6">
        <f t="shared" si="37"/>
        <v>5</v>
      </c>
      <c r="J819" s="2" t="s">
        <v>31</v>
      </c>
    </row>
    <row r="820" spans="1:12" x14ac:dyDescent="0.25">
      <c r="A820" s="3">
        <v>41343</v>
      </c>
      <c r="B820" s="2" t="s">
        <v>38</v>
      </c>
      <c r="C820" t="s">
        <v>149</v>
      </c>
      <c r="D820" t="s">
        <v>210</v>
      </c>
      <c r="E820" s="2">
        <v>45866</v>
      </c>
      <c r="F820" s="2" cm="1">
        <f t="array" ref="F820">_xlfn.IFS(B820="Owner Surrender",E820,B820="Stray",E820+6,B820="Stray w/identification",E820+11,B820="Bite",E820+10,B820="Other",E820+30,B820="BAS",E820+56,B820="Seized",E820)</f>
        <v>45872</v>
      </c>
      <c r="G820" s="2">
        <v>45874</v>
      </c>
      <c r="H820" s="6">
        <f t="shared" si="36"/>
        <v>8</v>
      </c>
      <c r="I820" s="6">
        <f t="shared" si="37"/>
        <v>2</v>
      </c>
      <c r="J820" s="2" t="s">
        <v>31</v>
      </c>
      <c r="L820" t="s">
        <v>67</v>
      </c>
    </row>
    <row r="821" spans="1:12" x14ac:dyDescent="0.25">
      <c r="A821" s="3">
        <v>41345</v>
      </c>
      <c r="B821" s="2" t="s">
        <v>38</v>
      </c>
      <c r="C821" t="s">
        <v>50</v>
      </c>
      <c r="D821" t="s">
        <v>209</v>
      </c>
      <c r="E821" s="2">
        <v>45867</v>
      </c>
      <c r="F821" s="2" cm="1">
        <f t="array" ref="F821">_xlfn.IFS(B821="Owner Surrender",E821,B821="Stray",E821+6,B821="Stray w/identification",E821+11,B821="Bite",E821+10,B821="Other",E821+30,B821="BAS",E821+56,B821="Seized",E821)</f>
        <v>45873</v>
      </c>
      <c r="G821" s="2">
        <v>45874</v>
      </c>
      <c r="H821" s="6">
        <f t="shared" si="36"/>
        <v>7</v>
      </c>
      <c r="I821" s="6">
        <f t="shared" si="37"/>
        <v>1</v>
      </c>
      <c r="J821" s="2" t="s">
        <v>31</v>
      </c>
      <c r="L821" t="s">
        <v>173</v>
      </c>
    </row>
    <row r="822" spans="1:12" x14ac:dyDescent="0.25">
      <c r="A822" s="3">
        <v>41346</v>
      </c>
      <c r="B822" s="2" t="s">
        <v>38</v>
      </c>
      <c r="C822" t="s">
        <v>59</v>
      </c>
      <c r="D822" t="s">
        <v>208</v>
      </c>
      <c r="E822" s="2">
        <v>45867</v>
      </c>
      <c r="F822" s="2" cm="1">
        <f t="array" ref="F822">_xlfn.IFS(B822="Owner Surrender",E822,B822="Stray",E822+6,B822="Stray w/identification",E822+11,B822="Bite",E822+10,B822="Other",E822+30,B822="BAS",E822+56,B822="Seized",E822)</f>
        <v>45873</v>
      </c>
      <c r="G822" s="2">
        <v>45888</v>
      </c>
      <c r="H822" s="6">
        <f t="shared" si="36"/>
        <v>21</v>
      </c>
      <c r="I822" s="6">
        <f t="shared" si="37"/>
        <v>15</v>
      </c>
      <c r="J822" s="2" t="s">
        <v>11</v>
      </c>
    </row>
    <row r="823" spans="1:12" x14ac:dyDescent="0.25">
      <c r="A823" s="3">
        <v>41347</v>
      </c>
      <c r="B823" s="2" t="s">
        <v>36</v>
      </c>
      <c r="C823" t="s">
        <v>49</v>
      </c>
      <c r="D823" t="s">
        <v>208</v>
      </c>
      <c r="E823" s="2">
        <v>45867</v>
      </c>
      <c r="F823" s="2" cm="1">
        <f t="array" ref="F823">_xlfn.IFS(B823="Owner Surrender",E823,B823="Stray",E823+6,B823="Stray w/identification",E823+11,B823="Bite",E823+10,B823="Other",E823+30,B823="BAS",E823+56,B823="Seized",E823)</f>
        <v>45867</v>
      </c>
      <c r="G823" s="2">
        <v>45868</v>
      </c>
      <c r="H823" s="6">
        <f t="shared" si="36"/>
        <v>1</v>
      </c>
      <c r="I823" s="6">
        <f t="shared" si="37"/>
        <v>1</v>
      </c>
      <c r="J823" s="2" t="s">
        <v>31</v>
      </c>
    </row>
    <row r="824" spans="1:12" x14ac:dyDescent="0.25">
      <c r="A824" s="3">
        <v>41348</v>
      </c>
      <c r="B824" s="2" t="s">
        <v>36</v>
      </c>
      <c r="C824" t="s">
        <v>49</v>
      </c>
      <c r="D824" t="s">
        <v>208</v>
      </c>
      <c r="E824" s="2">
        <v>45867</v>
      </c>
      <c r="F824" s="2" cm="1">
        <f t="array" ref="F824">_xlfn.IFS(B824="Owner Surrender",E824,B824="Stray",E824+6,B824="Stray w/identification",E824+11,B824="Bite",E824+10,B824="Other",E824+30,B824="BAS",E824+56,B824="Seized",E824)</f>
        <v>45867</v>
      </c>
      <c r="G824" s="2">
        <v>45868</v>
      </c>
      <c r="H824" s="6">
        <f t="shared" si="36"/>
        <v>1</v>
      </c>
      <c r="I824" s="6">
        <f t="shared" si="37"/>
        <v>1</v>
      </c>
      <c r="J824" s="2" t="s">
        <v>31</v>
      </c>
    </row>
    <row r="825" spans="1:12" x14ac:dyDescent="0.25">
      <c r="A825" s="3">
        <v>41361</v>
      </c>
      <c r="B825" s="2" t="s">
        <v>180</v>
      </c>
      <c r="C825" t="s">
        <v>50</v>
      </c>
      <c r="D825" t="s">
        <v>208</v>
      </c>
      <c r="E825" s="2">
        <v>45867</v>
      </c>
      <c r="F825" s="2" cm="1">
        <f t="array" ref="F825">_xlfn.IFS(B825="Owner Surrender",E825,B825="Stray",E825+6,B825="Stray w/identification",E825+11,B825="Bite",E825+10,B825="Other",E825+30,B825="BAS",E825+56,B825="Seized",E825)</f>
        <v>45878</v>
      </c>
      <c r="G825" s="2">
        <v>45868</v>
      </c>
      <c r="H825" s="6">
        <f t="shared" si="36"/>
        <v>1</v>
      </c>
      <c r="I825" s="6">
        <f t="shared" si="37"/>
        <v>-10</v>
      </c>
      <c r="J825" s="2" t="s">
        <v>8</v>
      </c>
    </row>
    <row r="826" spans="1:12" x14ac:dyDescent="0.25">
      <c r="A826" s="3">
        <v>41366</v>
      </c>
      <c r="B826" s="2" t="s">
        <v>38</v>
      </c>
      <c r="C826" t="s">
        <v>73</v>
      </c>
      <c r="D826" t="s">
        <v>208</v>
      </c>
      <c r="E826" s="2">
        <v>45867</v>
      </c>
      <c r="F826" s="2" cm="1">
        <f t="array" ref="F826">_xlfn.IFS(B826="Owner Surrender",E826,B826="Stray",E826+6,B826="Stray w/identification",E826+11,B826="Bite",E826+10,B826="Other",E826+30,B826="BAS",E826+56,B826="Seized",E826)</f>
        <v>45873</v>
      </c>
      <c r="G826" s="2">
        <v>45882</v>
      </c>
      <c r="H826" s="6">
        <f t="shared" si="36"/>
        <v>15</v>
      </c>
      <c r="I826" s="6">
        <f t="shared" si="37"/>
        <v>9</v>
      </c>
      <c r="J826" s="2" t="s">
        <v>31</v>
      </c>
      <c r="K826" s="2" t="s">
        <v>174</v>
      </c>
    </row>
    <row r="827" spans="1:12" x14ac:dyDescent="0.25">
      <c r="A827" s="3">
        <v>41367</v>
      </c>
      <c r="B827" s="2" t="s">
        <v>36</v>
      </c>
      <c r="C827" t="s">
        <v>175</v>
      </c>
      <c r="D827" t="s">
        <v>208</v>
      </c>
      <c r="E827" s="2">
        <v>45868</v>
      </c>
      <c r="F827" s="2" cm="1">
        <f t="array" ref="F827">_xlfn.IFS(B827="Owner Surrender",E827,B827="Stray",E827+6,B827="Stray w/identification",E827+11,B827="Bite",E827+10,B827="Other",E827+30,B827="BAS",E827+56,B827="Seized",E827)</f>
        <v>45868</v>
      </c>
      <c r="G827" s="2">
        <v>45870</v>
      </c>
      <c r="H827" s="6">
        <f t="shared" si="36"/>
        <v>2</v>
      </c>
      <c r="I827" s="6">
        <f t="shared" si="37"/>
        <v>2</v>
      </c>
      <c r="J827" s="2" t="s">
        <v>31</v>
      </c>
      <c r="K827" s="2" t="s">
        <v>176</v>
      </c>
    </row>
    <row r="828" spans="1:12" x14ac:dyDescent="0.25">
      <c r="A828" s="3">
        <v>41379</v>
      </c>
      <c r="B828" s="2" t="s">
        <v>36</v>
      </c>
      <c r="C828" t="s">
        <v>65</v>
      </c>
      <c r="D828" t="s">
        <v>211</v>
      </c>
      <c r="E828" s="2">
        <v>45869</v>
      </c>
      <c r="F828" s="2" cm="1">
        <f t="array" ref="F828">_xlfn.IFS(B828="Owner Surrender",E828,B828="Stray",E828+6,B828="Stray w/identification",E828+11,B828="Bite",E828+10,B828="Other",E828+30,B828="BAS",E828+56,B828="Seized",E828)</f>
        <v>45869</v>
      </c>
      <c r="G828" s="2">
        <v>45869</v>
      </c>
      <c r="H828" s="6">
        <f t="shared" si="36"/>
        <v>0</v>
      </c>
      <c r="I828" s="6">
        <f t="shared" si="37"/>
        <v>0</v>
      </c>
      <c r="J828" s="2" t="s">
        <v>31</v>
      </c>
      <c r="L828" t="s">
        <v>66</v>
      </c>
    </row>
    <row r="829" spans="1:12" x14ac:dyDescent="0.25">
      <c r="A829" s="3">
        <v>41386</v>
      </c>
      <c r="B829" s="2" t="s">
        <v>36</v>
      </c>
      <c r="C829" t="s">
        <v>72</v>
      </c>
      <c r="D829" t="s">
        <v>208</v>
      </c>
      <c r="E829" s="2">
        <v>45869</v>
      </c>
      <c r="F829" s="2" cm="1">
        <f t="array" ref="F829">_xlfn.IFS(B829="Owner Surrender",E829,B829="Stray",E829+6,B829="Stray w/identification",E829+11,B829="Bite",E829+10,B829="Other",E829+30,B829="BAS",E829+56,B829="Seized",E829)</f>
        <v>45869</v>
      </c>
      <c r="H829" s="6">
        <f t="shared" si="36"/>
        <v>-45869</v>
      </c>
      <c r="I829" s="6">
        <f t="shared" si="37"/>
        <v>-45869</v>
      </c>
      <c r="J829" s="2" t="s">
        <v>21</v>
      </c>
      <c r="L829" s="2"/>
    </row>
    <row r="830" spans="1:12" x14ac:dyDescent="0.25">
      <c r="H830" s="6">
        <f t="shared" si="36"/>
        <v>0</v>
      </c>
      <c r="I830" s="6">
        <f t="shared" si="37"/>
        <v>0</v>
      </c>
    </row>
    <row r="831" spans="1:12" x14ac:dyDescent="0.25">
      <c r="H831" s="6">
        <f t="shared" si="36"/>
        <v>0</v>
      </c>
      <c r="I831" s="6">
        <f t="shared" si="37"/>
        <v>0</v>
      </c>
    </row>
    <row r="832" spans="1:12" x14ac:dyDescent="0.25">
      <c r="H832" s="6">
        <f t="shared" si="36"/>
        <v>0</v>
      </c>
      <c r="I832" s="6">
        <f t="shared" si="37"/>
        <v>0</v>
      </c>
    </row>
    <row r="833" spans="8:9" x14ac:dyDescent="0.25">
      <c r="H833" s="6">
        <f t="shared" si="36"/>
        <v>0</v>
      </c>
      <c r="I833" s="6">
        <f t="shared" si="37"/>
        <v>0</v>
      </c>
    </row>
    <row r="834" spans="8:9" x14ac:dyDescent="0.25">
      <c r="H834" s="6">
        <f t="shared" si="36"/>
        <v>0</v>
      </c>
      <c r="I834" s="6">
        <f t="shared" si="37"/>
        <v>0</v>
      </c>
    </row>
    <row r="835" spans="8:9" x14ac:dyDescent="0.25">
      <c r="H835" s="6">
        <f t="shared" si="36"/>
        <v>0</v>
      </c>
      <c r="I835" s="6">
        <f t="shared" si="37"/>
        <v>0</v>
      </c>
    </row>
    <row r="836" spans="8:9" x14ac:dyDescent="0.25">
      <c r="H836" s="6">
        <f t="shared" si="36"/>
        <v>0</v>
      </c>
      <c r="I836" s="6">
        <f t="shared" si="37"/>
        <v>0</v>
      </c>
    </row>
    <row r="837" spans="8:9" x14ac:dyDescent="0.25">
      <c r="H837" s="6">
        <f t="shared" si="36"/>
        <v>0</v>
      </c>
      <c r="I837" s="6">
        <f t="shared" si="37"/>
        <v>0</v>
      </c>
    </row>
    <row r="838" spans="8:9" x14ac:dyDescent="0.25">
      <c r="H838" s="6">
        <f t="shared" si="36"/>
        <v>0</v>
      </c>
      <c r="I838" s="6">
        <f t="shared" si="37"/>
        <v>0</v>
      </c>
    </row>
    <row r="839" spans="8:9" x14ac:dyDescent="0.25">
      <c r="H839" s="6">
        <f t="shared" si="36"/>
        <v>0</v>
      </c>
      <c r="I839" s="6">
        <f t="shared" si="37"/>
        <v>0</v>
      </c>
    </row>
    <row r="840" spans="8:9" x14ac:dyDescent="0.25">
      <c r="H840" s="6">
        <f t="shared" si="36"/>
        <v>0</v>
      </c>
      <c r="I840" s="6">
        <f t="shared" si="37"/>
        <v>0</v>
      </c>
    </row>
    <row r="841" spans="8:9" x14ac:dyDescent="0.25">
      <c r="H841" s="6">
        <f t="shared" si="36"/>
        <v>0</v>
      </c>
      <c r="I841" s="6">
        <f t="shared" si="37"/>
        <v>0</v>
      </c>
    </row>
    <row r="842" spans="8:9" x14ac:dyDescent="0.25">
      <c r="H842" s="6">
        <f t="shared" si="36"/>
        <v>0</v>
      </c>
      <c r="I842" s="6">
        <f t="shared" si="37"/>
        <v>0</v>
      </c>
    </row>
    <row r="843" spans="8:9" x14ac:dyDescent="0.25">
      <c r="H843" s="6">
        <f t="shared" ref="H843:H868" si="38">+G843-E843</f>
        <v>0</v>
      </c>
      <c r="I843" s="6">
        <f t="shared" ref="I843:I868" si="39">G843-F843</f>
        <v>0</v>
      </c>
    </row>
    <row r="844" spans="8:9" x14ac:dyDescent="0.25">
      <c r="H844" s="6">
        <f t="shared" si="38"/>
        <v>0</v>
      </c>
      <c r="I844" s="6">
        <f t="shared" si="39"/>
        <v>0</v>
      </c>
    </row>
    <row r="845" spans="8:9" x14ac:dyDescent="0.25">
      <c r="H845" s="6">
        <f t="shared" si="38"/>
        <v>0</v>
      </c>
      <c r="I845" s="6">
        <f t="shared" si="39"/>
        <v>0</v>
      </c>
    </row>
    <row r="846" spans="8:9" x14ac:dyDescent="0.25">
      <c r="H846" s="6">
        <f t="shared" si="38"/>
        <v>0</v>
      </c>
      <c r="I846" s="6">
        <f t="shared" si="39"/>
        <v>0</v>
      </c>
    </row>
    <row r="847" spans="8:9" x14ac:dyDescent="0.25">
      <c r="H847" s="6">
        <f t="shared" si="38"/>
        <v>0</v>
      </c>
      <c r="I847" s="6">
        <f t="shared" si="39"/>
        <v>0</v>
      </c>
    </row>
    <row r="848" spans="8:9" x14ac:dyDescent="0.25">
      <c r="H848" s="6">
        <f t="shared" si="38"/>
        <v>0</v>
      </c>
      <c r="I848" s="6">
        <f t="shared" si="39"/>
        <v>0</v>
      </c>
    </row>
    <row r="849" spans="8:9" x14ac:dyDescent="0.25">
      <c r="H849" s="6">
        <f t="shared" si="38"/>
        <v>0</v>
      </c>
      <c r="I849" s="6">
        <f t="shared" si="39"/>
        <v>0</v>
      </c>
    </row>
    <row r="850" spans="8:9" x14ac:dyDescent="0.25">
      <c r="H850" s="6">
        <f t="shared" si="38"/>
        <v>0</v>
      </c>
      <c r="I850" s="6">
        <f t="shared" si="39"/>
        <v>0</v>
      </c>
    </row>
    <row r="851" spans="8:9" x14ac:dyDescent="0.25">
      <c r="H851" s="6">
        <f t="shared" si="38"/>
        <v>0</v>
      </c>
      <c r="I851" s="6">
        <f t="shared" si="39"/>
        <v>0</v>
      </c>
    </row>
    <row r="852" spans="8:9" x14ac:dyDescent="0.25">
      <c r="H852" s="6">
        <f t="shared" si="38"/>
        <v>0</v>
      </c>
      <c r="I852" s="6">
        <f t="shared" si="39"/>
        <v>0</v>
      </c>
    </row>
    <row r="853" spans="8:9" x14ac:dyDescent="0.25">
      <c r="H853" s="6">
        <f t="shared" si="38"/>
        <v>0</v>
      </c>
      <c r="I853" s="6">
        <f t="shared" si="39"/>
        <v>0</v>
      </c>
    </row>
    <row r="854" spans="8:9" x14ac:dyDescent="0.25">
      <c r="H854" s="6">
        <f t="shared" si="38"/>
        <v>0</v>
      </c>
      <c r="I854" s="6">
        <f t="shared" si="39"/>
        <v>0</v>
      </c>
    </row>
    <row r="855" spans="8:9" x14ac:dyDescent="0.25">
      <c r="H855" s="6">
        <f t="shared" si="38"/>
        <v>0</v>
      </c>
      <c r="I855" s="6">
        <f t="shared" si="39"/>
        <v>0</v>
      </c>
    </row>
    <row r="856" spans="8:9" x14ac:dyDescent="0.25">
      <c r="H856" s="6">
        <f t="shared" si="38"/>
        <v>0</v>
      </c>
      <c r="I856" s="6">
        <f t="shared" si="39"/>
        <v>0</v>
      </c>
    </row>
    <row r="857" spans="8:9" x14ac:dyDescent="0.25">
      <c r="H857" s="6">
        <f t="shared" si="38"/>
        <v>0</v>
      </c>
      <c r="I857" s="6">
        <f t="shared" si="39"/>
        <v>0</v>
      </c>
    </row>
    <row r="858" spans="8:9" x14ac:dyDescent="0.25">
      <c r="H858" s="6">
        <f t="shared" si="38"/>
        <v>0</v>
      </c>
      <c r="I858" s="6">
        <f t="shared" si="39"/>
        <v>0</v>
      </c>
    </row>
    <row r="859" spans="8:9" x14ac:dyDescent="0.25">
      <c r="H859" s="6">
        <f t="shared" si="38"/>
        <v>0</v>
      </c>
      <c r="I859" s="6">
        <f t="shared" si="39"/>
        <v>0</v>
      </c>
    </row>
    <row r="860" spans="8:9" x14ac:dyDescent="0.25">
      <c r="H860" s="6">
        <f t="shared" si="38"/>
        <v>0</v>
      </c>
      <c r="I860" s="6">
        <f t="shared" si="39"/>
        <v>0</v>
      </c>
    </row>
    <row r="861" spans="8:9" x14ac:dyDescent="0.25">
      <c r="H861" s="6">
        <f t="shared" si="38"/>
        <v>0</v>
      </c>
      <c r="I861" s="6">
        <f t="shared" si="39"/>
        <v>0</v>
      </c>
    </row>
    <row r="862" spans="8:9" x14ac:dyDescent="0.25">
      <c r="H862" s="6">
        <f t="shared" si="38"/>
        <v>0</v>
      </c>
      <c r="I862" s="6">
        <f t="shared" si="39"/>
        <v>0</v>
      </c>
    </row>
    <row r="863" spans="8:9" x14ac:dyDescent="0.25">
      <c r="H863" s="6">
        <f t="shared" si="38"/>
        <v>0</v>
      </c>
      <c r="I863" s="6">
        <f t="shared" si="39"/>
        <v>0</v>
      </c>
    </row>
    <row r="864" spans="8:9" x14ac:dyDescent="0.25">
      <c r="H864" s="6">
        <f t="shared" si="38"/>
        <v>0</v>
      </c>
      <c r="I864" s="6">
        <f t="shared" si="39"/>
        <v>0</v>
      </c>
    </row>
    <row r="865" spans="8:9" x14ac:dyDescent="0.25">
      <c r="H865" s="6">
        <f t="shared" si="38"/>
        <v>0</v>
      </c>
      <c r="I865" s="6">
        <f t="shared" si="39"/>
        <v>0</v>
      </c>
    </row>
    <row r="866" spans="8:9" x14ac:dyDescent="0.25">
      <c r="H866" s="6">
        <f t="shared" si="38"/>
        <v>0</v>
      </c>
      <c r="I866" s="6">
        <f t="shared" si="39"/>
        <v>0</v>
      </c>
    </row>
    <row r="867" spans="8:9" x14ac:dyDescent="0.25">
      <c r="H867" s="6">
        <f t="shared" si="38"/>
        <v>0</v>
      </c>
      <c r="I867" s="6">
        <f t="shared" si="39"/>
        <v>0</v>
      </c>
    </row>
    <row r="868" spans="8:9" x14ac:dyDescent="0.25">
      <c r="H868" s="6">
        <f t="shared" si="38"/>
        <v>0</v>
      </c>
      <c r="I868" s="6">
        <f t="shared" si="39"/>
        <v>0</v>
      </c>
    </row>
  </sheetData>
  <sortState xmlns:xlrd2="http://schemas.microsoft.com/office/spreadsheetml/2017/richdata2" ref="A4:L869">
    <sortCondition ref="A3:A869"/>
  </sortState>
  <mergeCells count="10">
    <mergeCell ref="H1:I1"/>
    <mergeCell ref="J1:J2"/>
    <mergeCell ref="K1:K2"/>
    <mergeCell ref="L1:L2"/>
    <mergeCell ref="A1:A2"/>
    <mergeCell ref="B1:B2"/>
    <mergeCell ref="C1:C2"/>
    <mergeCell ref="E1:E2"/>
    <mergeCell ref="F1:F2"/>
    <mergeCell ref="G1:G2"/>
  </mergeCells>
  <dataValidations count="3">
    <dataValidation type="list" allowBlank="1" showInputMessage="1" showErrorMessage="1" sqref="D1 D3:D1048576" xr:uid="{4FC2CCD0-F621-014B-B704-5A79A67ED780}">
      <formula1>"0-6 months, 6-12 months, Adult, Senior"</formula1>
    </dataValidation>
    <dataValidation type="list" allowBlank="1" showInputMessage="1" showErrorMessage="1" sqref="B3:B300" xr:uid="{A63CFEB4-F333-A043-8539-4C711FE5B4A6}">
      <formula1>"BAS, Bite, Other, Owner Surrender, Seized, Stray, Stray w/identification"</formula1>
    </dataValidation>
    <dataValidation type="list" allowBlank="1" showInputMessage="1" showErrorMessage="1" sqref="J3:J300" xr:uid="{F7347311-7AA9-1543-8EA0-705518681BE0}">
      <formula1>"Adopted, DOA, Euthanized, RTO, Shelter, Transferred, "</formula1>
    </dataValidation>
  </dataValidations>
  <hyperlinks>
    <hyperlink ref="A723" r:id="rId1" display="https://www.dropbox.com/scl/fi/u99dasvbe04beh0k2z0jj/41143.pdf?rlkey=n7yc71feuf75wjwa1vkc7gbi6&amp;dl=0" xr:uid="{D25E3EE5-B30A-C144-BCA4-F9DB5775EC2C}"/>
    <hyperlink ref="A691" r:id="rId2" display="https://www.dropbox.com/scl/fi/3ef2uq3mboc9jku4t2zj6/41074.pdf?rlkey=wtqwk3ilgyez46oz5my91z7iv&amp;dl=0" xr:uid="{B2AC5818-20FC-CB40-BAE4-D054796CE76B}"/>
    <hyperlink ref="A741" r:id="rId3" display="https://www.dropbox.com/scl/fi/c8ylaqb2yzy5nm6zxg35a/41185.pdf?rlkey=t8e25tmkf2ntv2mr1j4rr49ws&amp;dl=0" xr:uid="{E55FCD28-54A5-BC47-A683-D5E84C354F0E}"/>
    <hyperlink ref="A638" r:id="rId4" display="https://www.dropbox.com/scl/fi/zkwon2bmz6ul6zqexrus2/40939.pdf?rlkey=so18nt1fqnkg9hh0dmt5y15p0&amp;dl=0" xr:uid="{7AFB907D-4DCE-5A46-913E-42FE0DEB0FF9}"/>
    <hyperlink ref="A606" r:id="rId5" display="https://www.dropbox.com/scl/fi/w3xgjen4vxsljtgabmn3o/40879.pdf?rlkey=vg7weuksi4fe24zjhq2pzixk8&amp;dl=0" xr:uid="{C8EDE7B8-1D44-E045-978A-49BB6489C7C3}"/>
    <hyperlink ref="A685" r:id="rId6" display="https://www.dropbox.com/scl/fi/geykcufpngivjb83qlagi/41063.pdf?rlkey=vbif79jk39rfs6k6cfj56tu1b&amp;dl=0" xr:uid="{91C921D3-1006-9B4F-83AA-E42D6C908922}"/>
    <hyperlink ref="A777" r:id="rId7" display="https://www.dropbox.com/scl/fi/q6j27s1i4xj2nifglhsra/41248.pdf?rlkey=uoj4zzdfeiezvlfj5351tn3hn&amp;dl=0" xr:uid="{8EEFB200-1984-B740-8B3A-EF9AD7733AB3}"/>
    <hyperlink ref="A714" r:id="rId8" display="https://www.dropbox.com/scl/fi/ywtdrryekjkb90zz2fzvp/41126.pdf?rlkey=881zobgdpp4iraerspinp5qbj&amp;dl=0" xr:uid="{8CAC4BC4-0384-8E4E-9939-435E64C9709B}"/>
    <hyperlink ref="A640" r:id="rId9" display="https://www.dropbox.com/scl/fi/cb53oz3pxbdq4qpmsor73/40941.pdf?rlkey=2cv7lur3not9nbuf7gpbzjdge&amp;dl=0" xr:uid="{894E148B-8088-9A4B-B6AC-49D95B8F8047}"/>
    <hyperlink ref="A575" r:id="rId10" display="https://www.dropbox.com/scl/fi/jw984vkxhbwtqclj5zdye/40787.pdf?rlkey=dfemup6iwdr0bzkfc6wwi7bu2&amp;dl=0" xr:uid="{3499F86D-3D12-7248-8382-3AA101299C45}"/>
    <hyperlink ref="A488" r:id="rId11" display="https://www.dropbox.com/scl/fi/red6t06bc40gjrmoillvt/40353.pdf?rlkey=e4r4ipy88tp3wvpsk5n1hmod1&amp;dl=0" xr:uid="{F7C332C0-06CC-B347-85C4-28F54ED541E6}"/>
    <hyperlink ref="A636" r:id="rId12" display="https://www.dropbox.com/scl/fi/5mtrhefy9c3oh17rx17eb/40936.pdf?rlkey=o7xfj0p4wlcfxa5t9lhpqpugy&amp;dl=0" xr:uid="{27169CB1-13E2-6846-B0D1-E787AB9A561F}"/>
    <hyperlink ref="A639" r:id="rId13" display="https://www.dropbox.com/scl/fi/snt8s8goos1bw7s8hqnqx/40940.pdf?rlkey=1ydim3z71cgge3cgz6eu43kzt&amp;dl=0" xr:uid="{BCDD094E-31D0-9D48-A07D-73245B9E4803}"/>
    <hyperlink ref="A752" r:id="rId14" display="https://www.dropbox.com/scl/fi/yfc7o5qn8t42fxunv8j36/41214.pdf?rlkey=qtv8cgi1ntr8142co08k0inyr&amp;dl=0" xr:uid="{80406B6C-26AB-194E-8EB9-AFBF1F3134F4}"/>
    <hyperlink ref="A822" r:id="rId15" display="https://www.dropbox.com/scl/fi/cu5q54ik6ig888ra8qb1s/41346.pdf?rlkey=it6e26qhey8obrcwi2wnvzizm&amp;dl=0" xr:uid="{D9E6D421-8DB4-8A44-B6FA-CF5FCAF66F5B}"/>
    <hyperlink ref="A751" r:id="rId16" display="https://www.dropbox.com/scl/fi/xen0udz3u0jcvpjysv67o/41210.pdf?rlkey=7dih0ot5wg89k8m7bslq8kjqd&amp;dl=0" xr:uid="{88534E08-8FAE-AA45-B309-49A06FC4EBEA}"/>
    <hyperlink ref="A791" r:id="rId17" display="https://www.dropbox.com/scl/fi/ncjfhsz6s51lwpwvd32tk/41291.pdf?rlkey=zbs7yfombau8s6mauypn8m3et&amp;dl=0" xr:uid="{CF8BDA13-0B09-D142-9EBF-7F1A942522A8}"/>
    <hyperlink ref="A816" r:id="rId18" display="https://www.dropbox.com/scl/fi/ohfnxnxphsxr1ia1g36z7/41335.pdf?rlkey=grmi7voul9ui2i1rob09qcuq3&amp;dl=0" xr:uid="{05EAEAFE-0F53-D44F-B29A-3EBC8212674D}"/>
    <hyperlink ref="A783" r:id="rId19" display="https://www.dropbox.com/scl/fi/gze7tax1sjq59o6487gcb/41272.pdf?rlkey=8yv00iytqn4ic3be515ixmziy&amp;dl=0" xr:uid="{7FE19B99-4FDC-294E-B2CF-6FC37CD99D6B}"/>
    <hyperlink ref="A806" r:id="rId20" display="https://www.dropbox.com/scl/fi/bymtycd04bji0ex8z4sdp/41308.pdf?rlkey=fjrko2wqzxr8q2fb3xmlns4xw&amp;dl=0" xr:uid="{4CD6D00C-4277-AF4C-99BB-0898C8D1C056}"/>
    <hyperlink ref="A765" r:id="rId21" display="https://www.dropbox.com/scl/fi/2qhmroxxn2zf1zkh3moct/41227.pdf?rlkey=qf6v57manpdv93tha35y91oh7&amp;dl=0" xr:uid="{630B157D-7460-D145-9777-E64B25388A22}"/>
    <hyperlink ref="A793" r:id="rId22" display="https://www.dropbox.com/scl/fi/5photje134m003o5ocuuj/41293.pdf?rlkey=ai3eb34gnct7v2sa1h0sbyink&amp;dl=0" xr:uid="{34FFFAAF-DFD0-EF4C-9F00-2FB53ED02A1F}"/>
    <hyperlink ref="A828" r:id="rId23" display="https://www.dropbox.com/scl/fi/kbwe53fbp5580xw9zzack/41379.pdf?rlkey=w1fqk3c26lj5patalp4ngh53g&amp;dl=0" xr:uid="{B57E08FF-528E-EE45-939F-584130077184}"/>
    <hyperlink ref="A678" r:id="rId24" display="https://www.dropbox.com/scl/fi/thxphek2nglo9wc5e0fab/41051.pdf?rlkey=808x1zebumfomlcx45vde6muh&amp;dl=0" xr:uid="{A1DB8D07-B1C9-EF42-80B8-3D9568228BCD}"/>
    <hyperlink ref="A774" r:id="rId25" display="https://www.dropbox.com/scl/fi/8975tlir8ex7xg16c7yxq/41245.pdf?rlkey=urcqkjr90coo1drx39gk9g7jl&amp;dl=0" xr:uid="{9C4867DD-CDC8-4643-B7C4-0D806B5AE6DF}"/>
    <hyperlink ref="A771" r:id="rId26" display="https://www.dropbox.com/scl/fi/tnk9qoqwud0820xpxu9xa/41234.pdf?rlkey=c20ne4pg3tren3hbf5xuwlmtz&amp;dl=0" xr:uid="{C22B1109-F34B-944C-9C76-035F0223A8BB}"/>
    <hyperlink ref="A776" r:id="rId27" display="https://www.dropbox.com/scl/fi/9hco6vl84gxlnli8wpk8v/41247.pdf?rlkey=k95igvit2tnkalawx4rbl3sac&amp;dl=0" xr:uid="{ECF2C1F9-D5ED-DB44-9F63-E4F26FDAB23F}"/>
    <hyperlink ref="A753" r:id="rId28" display="https://www.dropbox.com/scl/fi/kqc7y1dziu2jhhbk033ud/41215.pdf?rlkey=1d1v5fwxjw3ee2g8vhx1aclpn&amp;dl=0" xr:uid="{7D9FE0EE-FEA2-6D4D-93E8-1F2BC73379DD}"/>
    <hyperlink ref="A824" r:id="rId29" display="https://www.dropbox.com/scl/fi/d4rptyimospphzs4kzjn1/41348.pdf?rlkey=2ct8klygnfoqnc2nnzaoqdeyj&amp;dl=0" xr:uid="{2C63F8BA-BBEA-5943-8E15-6E43E9F7E8E1}"/>
    <hyperlink ref="A823" r:id="rId30" display="https://www.dropbox.com/scl/fi/gzr8zei1nsmsg612ay559/41347.pdf?rlkey=399u5aqk0i9pg451nc5qao2hr&amp;dl=0" xr:uid="{84BEA5CD-BE1A-D54E-BC81-F51692E54F34}"/>
    <hyperlink ref="A722" r:id="rId31" display="https://www.dropbox.com/scl/fi/9i5tl33djbl2s5v7tl98i/41142.pdf?rlkey=681sh7twg6p121aecuwj0u2sm&amp;dl=0" xr:uid="{845ED27D-0D87-814F-8CF6-C2014EBEC808}"/>
    <hyperlink ref="A707" r:id="rId32" display="https://www.dropbox.com/scl/fi/775hb10sh9noyr9xx8s16/41111.pdf?rlkey=lz3kfm77horkih7w54l07zfz1&amp;dl=0" xr:uid="{B52E0DC0-3D46-2D44-9ACD-9A99DBBC2B2F}"/>
    <hyperlink ref="A661" r:id="rId33" display="https://www.dropbox.com/scl/fi/6ix06suwueb22xifxe34p/40994.pdf?rlkey=jozr9emza5kq6oh65tm31bwmb&amp;dl=0" xr:uid="{D3ECCF46-071C-CD48-8A05-795D4B17F0A8}"/>
    <hyperlink ref="A687" r:id="rId34" display="https://www.dropbox.com/scl/fi/ydxtgb6w6y7ynnq2bgs18/41065.pdf?rlkey=0hahee95s8i1f63qr1f9vtpdr&amp;dl=0" xr:uid="{2FB89CA7-AFEF-D544-9CFC-1C37D2818EB9}"/>
    <hyperlink ref="A724" r:id="rId35" display="https://www.dropbox.com/scl/fi/ulwwliltrl4vpdxezujki/41144.pdf?rlkey=yzx7nqa9ps2n0xnjusew0prlc&amp;dl=0" xr:uid="{21E6E1D0-90C6-8947-AE01-5606837A6630}"/>
    <hyperlink ref="A688" r:id="rId36" display="https://www.dropbox.com/scl/fi/bbxwow7i9zz2twn6g83wq/41066.pdf?rlkey=v7eih5r6m8bwoqm8hcg1gnbip&amp;dl=0" xr:uid="{B079B50E-8D37-6E4A-892C-A20B417131F5}"/>
    <hyperlink ref="A673" r:id="rId37" display="https://www.dropbox.com/scl/fi/u6sa3faoo35wa9helsz42/41029.pdf?rlkey=mbmufzzafcxn0pwmmlp9f1kb1&amp;dl=0" xr:uid="{B50AD5E6-C2AD-0D49-A264-690A10A65C85}"/>
    <hyperlink ref="A689" r:id="rId38" display="https://www.dropbox.com/scl/fi/3kwhja24b13kmv8u4ns4y/41067.pdf?rlkey=cqw2sa793ipmx6gtz4hw6x1hp&amp;dl=0" xr:uid="{92F2696D-BC22-A743-A5F8-59772F0437A2}"/>
    <hyperlink ref="A664" r:id="rId39" display="https://www.dropbox.com/scl/fi/hrgmybkks7kcytd7rvp12/40999.pdf?rlkey=0q8nll211nemgcmicolfe9cl2&amp;dl=0" xr:uid="{9F82BB8B-297D-524F-A13F-2E4E39C42F99}"/>
    <hyperlink ref="A662" r:id="rId40" display="https://www.dropbox.com/scl/fi/1kxwm0kiyue9ypnezf392/40997.pdf?rlkey=clrwpo2cv68qpo0aitzgwutvj&amp;dl=0" xr:uid="{0B3B6F2C-0868-FE4D-9EDF-1CFB4D89B491}"/>
    <hyperlink ref="A663" r:id="rId41" display="https://www.dropbox.com/scl/fi/je652eczghfao7ol85efr/40998.pdf?rlkey=0ml29fy67dkw3lweu4jutc1fi&amp;dl=0" xr:uid="{D2AE63D3-BDAD-B748-B2DB-66654FCE4944}"/>
    <hyperlink ref="A655" r:id="rId42" display="https://www.dropbox.com/scl/fi/1nw8sjvbt9p43t6v97j0h/40982.pdf?rlkey=lqyhimw0gcfjit5xfytexm5wb&amp;dl=0" xr:uid="{66D5108D-8A62-2342-BC74-A58F754FBC57}"/>
    <hyperlink ref="A666" r:id="rId43" display="https://www.dropbox.com/scl/fi/g7ikppell275atbwligpj/41002.pdf?rlkey=dmxwizysvaemwvj1uqy88ho3e&amp;dl=0" xr:uid="{0568F2B6-A653-B747-A3EF-D8C03B38124A}"/>
    <hyperlink ref="A684" r:id="rId44" display="https://www.dropbox.com/scl/fi/0lbro3u0k3z2a265v4qsq/41056.pdf?rlkey=eab5xglq83nqq2rkl6vxtrop2&amp;dl=0" xr:uid="{E3CA3561-1561-EB49-AF53-BB46F3158F1E}"/>
    <hyperlink ref="A702" r:id="rId45" display="https://www.dropbox.com/scl/fi/b227p87makqfjykf4fn40/41087.pdf?rlkey=4tjh9qcjor0gww4s05t3ieked&amp;dl=0" xr:uid="{D46016EC-F142-594B-A2B0-A1BCE84AE13B}"/>
    <hyperlink ref="A703" r:id="rId46" display="https://www.dropbox.com/scl/fi/85juh3p2ksuujzpx4ba6x/41088.pdf?rlkey=hqdcu3frykwlxq9jpiu8aoaq2&amp;dl=0" xr:uid="{2C057607-AD96-314E-BD02-2DAB2E4CEDBE}"/>
    <hyperlink ref="A571" r:id="rId47" display="https://www.dropbox.com/scl/fi/wl464mmcds6bnjesxdkhe/40761.pdf?rlkey=y2xh1n38843dd8paxwhrkjtwa&amp;dl=0" xr:uid="{91CE036B-08BF-1845-B35F-22D798EEF1F9}"/>
    <hyperlink ref="A668" r:id="rId48" display="https://www.dropbox.com/scl/fi/duz22j8x0txyfey1l8dvv/41007.pdf?rlkey=1mx38n0tgjhgsmsrxkemf0jdy&amp;dl=0" xr:uid="{A9C8CA90-D550-FF4C-BC2D-0A99F131253C}"/>
    <hyperlink ref="A675" r:id="rId49" display="https://www.dropbox.com/scl/fi/ub8w759ai4vhf9uk470n3/41045.pdf?rlkey=wbix0en9ocjv0vipm6asqexfb&amp;dl=0" xr:uid="{1EBF8953-F522-BF47-93AF-FC3E2CF3543D}"/>
    <hyperlink ref="A686" r:id="rId50" display="https://www.dropbox.com/scl/fi/zh9zg51zerd3x09czkfwe/41064.pdf?rlkey=bjfb46xl8qbm8g7lfknydbom1&amp;dl=0" xr:uid="{4E0B554D-7A3B-D940-B959-AF30954A7D85}"/>
    <hyperlink ref="A690" r:id="rId51" display="https://www.dropbox.com/scl/fi/d4mn0mxo83hnvt41ateg2/41068.pdf?rlkey=6o60le6g5rsipdri9x6gp5cuj&amp;dl=0" xr:uid="{2D42D42E-03A5-8C4C-BB52-D3EB14D4D128}"/>
    <hyperlink ref="A665" r:id="rId52" display="https://www.dropbox.com/scl/fi/8ji1hv4ooacsy3k2t9zdh/41000.pdf?rlkey=hz7cpwbacnfxj3c1v8qc44qlk&amp;dl=0" xr:uid="{9E248010-C5C9-2D4A-B8BC-180FA6B0DF43}"/>
    <hyperlink ref="A812" r:id="rId53" display="https://www.dropbox.com/scl/fi/pvup3ybpxnu22pvdb4foy/41329.pdf?rlkey=vs0ljpd1rcqhfy02vxdohjx01&amp;dl=0" xr:uid="{B5B58009-186D-2B4A-8B13-F83B411EAFBA}"/>
    <hyperlink ref="A814" r:id="rId54" display="https://www.dropbox.com/scl/fi/5nbmpw5o0wq5d1cx0frux/41331.pdf?rlkey=4jx4irujdcsdthsmi3zz08mch&amp;dl=0" xr:uid="{D3A927F0-793E-6D49-9C12-90DFCE174082}"/>
    <hyperlink ref="A813" r:id="rId55" display="https://www.dropbox.com/scl/fi/adb3jqj35azeslwsbkvu9/41330.pdf?rlkey=hokqn9ikyzbxrmf2h4fsjj4q2&amp;dl=0" xr:uid="{7C23C36F-720D-914B-9D6E-AC17BF310EB7}"/>
    <hyperlink ref="A767" r:id="rId56" display="https://www.dropbox.com/scl/fi/sqqrkhhao20qjwttls5t7/41229.pdf?rlkey=nfk1ral1ckfigudg33e19104q&amp;dl=0" xr:uid="{9A1B468A-CC3F-B741-9269-1E828F0A0852}"/>
    <hyperlink ref="A786" r:id="rId57" display="https://www.dropbox.com/scl/fi/tqu753h5dwoh9fuipy4nj/41285.pdf?rlkey=d348pylbych4ui9falnr5v09z&amp;dl=0" xr:uid="{858A48D2-6C21-0443-9FC5-1F3679195ACF}"/>
    <hyperlink ref="A769" r:id="rId58" display="https://www.dropbox.com/scl/fi/fsfh664j5k7rxp768ri3b/41232.pdf?rlkey=3tbrkdhwmnxc95e50i16h46eu&amp;dl=0" xr:uid="{71080121-CD64-EF43-882D-626FC38F3587}"/>
    <hyperlink ref="A785" r:id="rId59" display="https://www.dropbox.com/scl/fi/cgu2d4g6wxf8fjsj8308o/41284.pdf?rlkey=qn38cyep5jln1ys0ovlb2xeck&amp;dl=0" xr:uid="{DF43BB04-76DB-7F4B-A1DE-01C4A89ED4C6}"/>
    <hyperlink ref="A789" r:id="rId60" display="https://www.dropbox.com/scl/fi/97r39yzt487vxqwdd7bmm/41288.pdf?rlkey=lmdithpr4ss9xa2hueycpge0c&amp;dl=0" xr:uid="{642EAB73-348E-4C4F-A4AB-5A884545B0C6}"/>
    <hyperlink ref="A788" r:id="rId61" display="https://www.dropbox.com/scl/fi/knpcavfw413814klrstip/41287.pdf?rlkey=65p4qyun26gl0m1983f9iqpjd&amp;dl=0" xr:uid="{93F45A44-03B4-D847-B4AD-1B69EDECD294}"/>
    <hyperlink ref="A717" r:id="rId62" display="https://www.dropbox.com/scl/fi/jlhiv2uuisdczixiy1ups/41131.pdf?rlkey=50rtd5cmyr3msl3stc25asy0k&amp;dl=0" xr:uid="{DABBCCF1-946F-3340-9B17-9CCA88F51B32}"/>
    <hyperlink ref="A770" r:id="rId63" display="https://www.dropbox.com/scl/fi/4vv3k711y63426gdq9iv8/41233.pdf?rlkey=gd2bj5mbz27xayl3xn27tkzp4&amp;dl=0" xr:uid="{F3FA8B26-F3F4-9542-AA59-4F268EA4E907}"/>
    <hyperlink ref="A627" r:id="rId64" display="https://www.dropbox.com/scl/fi/dcjle1cnv6zf3dzcsuba8/40917.pdf?rlkey=dfm21uzy01s66c317d0tddgs5&amp;dl=0" xr:uid="{7AA8CEE4-CABC-C946-9EB2-74809D2ED187}"/>
    <hyperlink ref="A413" r:id="rId65" display="https://www.dropbox.com/scl/fi/x17x4kzft25yfrj4522mk/40141.pdf?rlkey=cwr39lzy3sn9jz5imziqqcedo&amp;dl=0" xr:uid="{55671854-7A77-E542-BBA0-135289E68594}"/>
    <hyperlink ref="A682" r:id="rId66" display="https://www.dropbox.com/scl/fi/lvltjq2gs10vthebdbqm4/41054.pdf?rlkey=gzgqbknkm687rrvm0o4zp1w6q&amp;dl=0" xr:uid="{3430BE03-6C45-8341-9434-4C8D1AF582B8}"/>
    <hyperlink ref="A706" r:id="rId67" display="https://www.dropbox.com/scl/fi/4l6lpja35t5l6bvctorma/41110.pdf?rlkey=apom3d5pptzhzj30b2tnavrnl&amp;dl=0" xr:uid="{7B65A630-AA68-6640-8ECE-2D235EA5FF1F}"/>
    <hyperlink ref="A772" r:id="rId68" display="https://www.dropbox.com/scl/fi/iz0rqqxxkse69m6z1xkyk/41235.pdf?rlkey=vnlxoh3mfgersfh8n25w6j4au&amp;dl=0" xr:uid="{D50E7713-4AEB-3B44-A1C7-902A385E34C5}"/>
    <hyperlink ref="A748" r:id="rId69" display="https://www.dropbox.com/scl/fi/wjlsjmlt6c0qk2n0isyj5/41201.pdf?rlkey=co16em26qqgpwckkzs8z1axjc&amp;dl=0" xr:uid="{371622AC-860C-7C4A-B469-52BE058CC0B4}"/>
    <hyperlink ref="A712" r:id="rId70" display="https://www.dropbox.com/scl/fi/vnl31pmo17sd4actcem7f/41118.pdf?rlkey=u3h8urswtj6xg1b1mtufckkxi&amp;dl=0" xr:uid="{B59E00AE-DA03-5844-AB7C-7BA5675B01EF}"/>
    <hyperlink ref="A489" r:id="rId71" display="https://www.dropbox.com/scl/fi/793w32kbmajt9knz4ueae/40354.pdf?rlkey=qnu5nncft8bvtus5rqlktxrxc&amp;dl=0" xr:uid="{EA69AC43-669C-C847-8D92-90C32FB0B46B}"/>
    <hyperlink ref="A711" r:id="rId72" display="https://www.dropbox.com/scl/fi/hmd2qvdoqmv7mutwmgftt/41117.pdf?rlkey=j5kx8qaj4e4ftpmkz766eiavb&amp;dl=0" xr:uid="{28A45FFF-E487-6A49-8DBE-8482E1838D08}"/>
    <hyperlink ref="A683" r:id="rId73" display="https://www.dropbox.com/scl/fi/r54td685vlsmwcsu5bvlm/41055.pdf?rlkey=pyla9kjbkwlrt6un8amk268vt&amp;dl=0" xr:uid="{5F0EEC0A-6570-B943-B8F8-672FD0A616DA}"/>
    <hyperlink ref="A355" r:id="rId74" display="https://www.dropbox.com/scl/fi/lkimj7adgsjlfmxbbqcnl/40024.pdf?rlkey=y0tbsvstfmuleofqgb7tx91nu&amp;dl=0" xr:uid="{C48F5A4B-48C7-2A4F-9021-ADDCDAD6EA10}"/>
    <hyperlink ref="A804" r:id="rId75" display="https://www.dropbox.com/scl/fi/vjmkr1eu4ydw17q9cfejs/41304.pdf?rlkey=b0221xwn6g2vqoe2e8rb98j4r&amp;dl=0" xr:uid="{7B75435D-FB37-3C4D-9F5D-62FC553FA78F}"/>
    <hyperlink ref="A710" r:id="rId76" display="https://www.dropbox.com/scl/fi/r4xcvq74m5yeibif2cp9e/41114.pdf?rlkey=sub90wgrnodqr4w8fz6b47tlo&amp;dl=0" xr:uid="{4190D321-659B-674A-9EC6-1F147C7FAA45}"/>
    <hyperlink ref="A708" r:id="rId77" display="https://www.dropbox.com/scl/fi/qmaxgygpbji04cllidgzv/41112.pdf?rlkey=hai9i0ifegb8snpd91xg6q4ph&amp;dl=0" xr:uid="{69A96CD1-E7F8-0F47-BA6D-D30F7FB964BA}"/>
    <hyperlink ref="A754" r:id="rId78" display="https://www.dropbox.com/scl/fi/4rl7h46etnkwq2nalkmtw/41216.pdf?rlkey=z2rhx9tqlo3vwyojj3cittjtr&amp;dl=0" xr:uid="{9848E40C-DF92-D44F-A7E9-77B43CCDBBCD}"/>
    <hyperlink ref="A584" r:id="rId79" display="https://www.dropbox.com/scl/fi/whnn9zawoa71ksims8i2w/40811.pdf?rlkey=ye05vrhjt30qn84apyros7yvk&amp;dl=0" xr:uid="{29D31118-1714-8545-97AE-396238C8C33E}"/>
    <hyperlink ref="A809" r:id="rId80" display="https://www.dropbox.com/scl/fi/dlyz5yncim1ic8t74p44m/41320.pdf?rlkey=fs8muwzv9bbhyxfluqbfxvodc&amp;dl=0" xr:uid="{F6534E72-BF23-114C-BA77-A8CF6AA6DBB0}"/>
    <hyperlink ref="A784" r:id="rId81" display="https://www.dropbox.com/scl/fi/91l9jfelq6aknsokw1dcm/41273.pdf?rlkey=tcglanxsehraiquv80pbzt25l&amp;dl=0" xr:uid="{ACD6D6FA-0F00-2A44-8510-E385895F3C84}"/>
    <hyperlink ref="A779" r:id="rId82" display="https://www.dropbox.com/scl/fi/35b8eigzqlyy6d4sv0f95/41250.pdf?rlkey=zswv5fzslkmal6qga5ouzjp4i&amp;dl=0" xr:uid="{182A32AB-F3F7-1F47-82F5-B776F802000D}"/>
    <hyperlink ref="A811" r:id="rId83" display="https://www.dropbox.com/scl/fi/794b0972ukjxqctvbj1vi/41326.pdf?rlkey=ng3zku3dxq62so1y0en8rrwtx&amp;dl=0" xr:uid="{F6318547-D6B9-7043-B7DA-54D557E55149}"/>
    <hyperlink ref="A787" r:id="rId84" display="https://www.dropbox.com/scl/fi/1lbamx3gh6q5kt4j0ymqx/41286.pdf?rlkey=isqpxehm5lkxzhe4z1las7apb&amp;dl=0" xr:uid="{0A297B9F-6047-5644-A4DC-D7F5D0217330}"/>
    <hyperlink ref="A692" r:id="rId85" display="https://www.dropbox.com/scl/fi/0pbcoocijtcs001vtp2sm/41075.pdf?rlkey=jz6hxmcpwj6tg79nttrukcylx&amp;dl=0" xr:uid="{DBF8AD4C-5A5E-0D41-B0E6-C9F0839AD78E}"/>
    <hyperlink ref="A694" r:id="rId86" display="https://www.dropbox.com/scl/fi/6bv5paaes9uwtwa7w5a2a/41077.pdf?rlkey=jxnh4v5w4862qc4cyqjophs7s&amp;dl=0" xr:uid="{028232BE-F897-7B45-B9A0-3A327DBA7815}"/>
    <hyperlink ref="A695" r:id="rId87" display="https://www.dropbox.com/scl/fi/lygytu8vuqg44azsozpg1/41078.pdf?rlkey=cxqjhnnc87dkm4o65fghddakr&amp;dl=0" xr:uid="{2518C9D9-61F3-7749-BDD4-6A29208F504C}"/>
    <hyperlink ref="A696" r:id="rId88" display="https://www.dropbox.com/scl/fi/m33gdc3q6ubrqgxk4x6l5/41079.pdf?rlkey=xa8uofcmfz4frzks6zyb07dyt&amp;dl=0" xr:uid="{4E504E2E-A764-DE43-B0E7-081326E8C5F0}"/>
    <hyperlink ref="A775" r:id="rId89" display="https://www.dropbox.com/scl/fi/6vxs6xhmnfxf7vv1gv982/41246.pdf?rlkey=746bxroh1kdidiq5z0xmyvqmp&amp;dl=0" xr:uid="{585C812B-622A-2245-8D1E-CDA430A3DCFD}"/>
    <hyperlink ref="A807" r:id="rId90" display="https://www.dropbox.com/scl/fi/e1tj37e57b7jrz1tqvvhk/41309.pdf?rlkey=5bp00zufzizkakvaivlwc2arq&amp;dl=0" xr:uid="{F407F6DE-C0B2-E24E-8E4C-5B71A89D36AA}"/>
    <hyperlink ref="A810" r:id="rId91" display="https://www.dropbox.com/scl/fi/dqsn3qr8v17nsmwvzmx11/41321.pdf?rlkey=h4y28m74zmzc1wlukqbdv8ay9&amp;dl=0" xr:uid="{1C2B14B3-7B23-FB43-A6B3-46E28F526261}"/>
    <hyperlink ref="A829" r:id="rId92" display="https://www.dropbox.com/scl/fi/ylidr89xnbcgwi5lio820/41386.pdf?rlkey=6yexez12rcqsz9bvm5nb47bpz&amp;dl=0" xr:uid="{129ADB6C-439A-0E4E-BD19-54290D3BABD1}"/>
    <hyperlink ref="A803" r:id="rId93" display="https://www.dropbox.com/scl/fi/tpi65gvpsj8u4e9v1mzx7/41303.pdf?rlkey=5oikjk2ogvtnl92edvtovd8mc&amp;dl=0" xr:uid="{4B60C34C-3326-5D42-A67F-B70DAF787470}"/>
    <hyperlink ref="A659" r:id="rId94" display="https://www.dropbox.com/scl/fi/ltlg2sby7fcm9nf6g0td4/40992.pdf?rlkey=c2cijad7ss9ucndu5zb1z0dg4&amp;dl=0" xr:uid="{AE1FC61F-9849-1140-BC26-A4C18EF60BFE}"/>
    <hyperlink ref="A764" r:id="rId95" display="https://www.dropbox.com/scl/fi/rdpmofwzsugr6eppmr5is/41226.pdf?rlkey=uxa0dzbhtdtpd6lk8f7u4z8ay&amp;dl=0" xr:uid="{DE64DC46-AE64-9643-8879-9AC413CE8FA7}"/>
    <hyperlink ref="A766" r:id="rId96" display="https://www.dropbox.com/scl/fi/f9dn6mk42ele43zuohc3i/41228.pdf?rlkey=prgtkjk4rfnx4uv9snzknixej&amp;dl=0" xr:uid="{7822C4D9-863E-0C4F-8DEC-E4F72FE00FF9}"/>
    <hyperlink ref="A726" r:id="rId97" display="https://www.dropbox.com/scl/fi/082ve8de7tjh0iipxnn7q/41146.pdf?rlkey=rg8qfwh57rpb1sjcp4suwxu9n&amp;dl=0" xr:uid="{26877951-4899-4C43-AF8A-AA325E9E2438}"/>
    <hyperlink ref="A527" r:id="rId98" display="https://www.dropbox.com/scl/fi/a9tuk7k9fkqxqd9t4pc7v/40431.pdf?rlkey=brcyfgdqms74ncpf5knleyhnc&amp;dl=0" xr:uid="{19AEBF2B-F73D-364B-9358-0CEC516B763D}"/>
    <hyperlink ref="A782" r:id="rId99" display="https://www.dropbox.com/scl/fi/50ilh5dd8ceffjwcg8ynh/41269.pdf?rlkey=m7grja3w3rjdujcnl0bwmcyzj&amp;dl=0" xr:uid="{8D8D22B1-E1AF-9240-B03C-7266F107E386}"/>
    <hyperlink ref="A740" r:id="rId100" display="https://www.dropbox.com/scl/fi/m21ffqcjxvhfytaoixtxf/41178.pdf?rlkey=i57nx44nwarrp9ixbqy040lbv&amp;dl=0" xr:uid="{9C6898A2-3C03-CD4A-B518-8295D0AF8B94}"/>
    <hyperlink ref="A716" r:id="rId101" display="https://www.dropbox.com/scl/fi/21cl6o9y3ehpulpoubw84/41130.pdf?rlkey=rrj3g84ohp5wg9uw69c392bal&amp;dl=0" xr:uid="{D31918D4-699C-4A4E-94EB-70148FD2B068}"/>
    <hyperlink ref="A530" r:id="rId102" display="https://www.dropbox.com/scl/fi/qv2isnqzdfppwfu0rolba/40449.pdf?rlkey=9hphz0dekzymh64z7ztu93swn&amp;dl=0" xr:uid="{2716320E-CF39-564F-94DB-163CF647E95F}"/>
    <hyperlink ref="A715" r:id="rId103" display="https://www.dropbox.com/scl/fi/mha7qbo50i0yn8xclelcl/41128.pdf?rlkey=d0nbnldttovam3atjrb7yw1uw&amp;dl=0" xr:uid="{F21601CC-48C8-5A40-9633-1C3AE935EE0E}"/>
    <hyperlink ref="A725" r:id="rId104" display="https://www.dropbox.com/scl/fi/041figxbvjbclnsre97kg/41145.pdf?rlkey=ly3aked12g3oregy683fu38a4&amp;dl=0" xr:uid="{E49D728B-AE96-7F4F-AE8D-E4889B123FAF}"/>
    <hyperlink ref="A468" r:id="rId105" display="https://www.dropbox.com/scl/fi/40jf1jeynz57qy7qmssrq/40273.pdf?rlkey=tp8f6wq9857qlky67z333gu8y&amp;dl=0" xr:uid="{ADC4CE6E-55D9-2A4C-93AA-357E3BD7B0C7}"/>
    <hyperlink ref="A825" r:id="rId106" display="https://www.dropbox.com/scl/fi/j95ue82gwn0nr38uj5l7x/41361.pdf?rlkey=enpexdsm7rj2fi6ylz40ydnq9&amp;dl=0" xr:uid="{BCBDBC89-8F34-8345-BF0A-CB2B3506106C}"/>
    <hyperlink ref="A728" r:id="rId107" display="https://www.dropbox.com/scl/fi/6d5nzkdc19pwierj9yfsv/41150.pdf?rlkey=i3a3zjf49i3jhsz4z0bc0nw0o&amp;dl=0" xr:uid="{C25A5388-C087-444E-9583-93E7E9E21120}"/>
    <hyperlink ref="A585" r:id="rId108" display="https://www.dropbox.com/scl/fi/21ckcjzdpj4vk9tfhz78w/40812.pdf?rlkey=xzs7xmourv17ft6mn715kkm23&amp;dl=0" xr:uid="{745F0C5C-B09B-6148-9481-944CEA6DD2BE}"/>
    <hyperlink ref="A586" r:id="rId109" display="https://www.dropbox.com/scl/fi/7uqxsuxh5ncykpr7mbp4i/40813.pdf?rlkey=4eq0t7l32kbnobo45mmls04b9&amp;dl=0" xr:uid="{8561117F-7C30-B742-8392-C43D0B8A9009}"/>
    <hyperlink ref="A587" r:id="rId110" display="https://www.dropbox.com/scl/fi/2y2md5ol2zb0hdjay3i8t/40814.pdf?rlkey=5cl7m59p25kl40tewquwsp16c&amp;dl=0" xr:uid="{95A12882-5E7E-754A-BFBE-0414A4BA10E9}"/>
    <hyperlink ref="A588" r:id="rId111" display="https://www.dropbox.com/scl/fi/qfrtubm82j2gpa4nb4hzq/40815.pdf?rlkey=8o5qha553v0cxc8p7ored3x9f&amp;dl=0" xr:uid="{FA9F9F82-370B-D041-9473-AD3DB8B7443D}"/>
    <hyperlink ref="A589" r:id="rId112" display="https://www.dropbox.com/scl/fi/o7rnnbqq4o9espplgn5rf/40816.pdf?rlkey=d8odal55dpw2u1qcligu1xquv&amp;dl=0" xr:uid="{E59B5B95-C22F-9E45-8DA2-208885BEA617}"/>
    <hyperlink ref="A590" r:id="rId113" display="https://www.dropbox.com/scl/fi/nuz7zx2onhq3sy9oy5dcs/40817.pdf?rlkey=0nzlyhmgpz2omtd6n5o98hvs8&amp;dl=0" xr:uid="{8FA72517-ED93-FB4D-A343-5D3E863D3F68}"/>
    <hyperlink ref="A591" r:id="rId114" display="https://www.dropbox.com/scl/fi/5sypwc4vyboc2ru9o8ahw/40818.pdf?rlkey=5pp9fxvdcza3ql727qaggwgev&amp;dl=0" xr:uid="{E8E51961-977C-2647-8F8B-1846EA98FEC4}"/>
    <hyperlink ref="A592" r:id="rId115" display="https://www.dropbox.com/scl/fi/pkf603vnqeqnppdefra9h/40819.pdf?rlkey=hcvd5smcw11easj31wmf7c840&amp;dl=0" xr:uid="{B9935BA4-25A3-0D40-891C-F4FFB31DF8B2}"/>
    <hyperlink ref="A593" r:id="rId116" display="https://www.dropbox.com/scl/fi/h3l7vhobiw9w3cf92wum6/40820.pdf?rlkey=z4caa0i3finc2t9wzgswedstw&amp;dl=0" xr:uid="{B24EEC86-A9C0-814F-B8F8-D83B48C3DBD9}"/>
    <hyperlink ref="A594" r:id="rId117" display="https://www.dropbox.com/scl/fi/dd75krh2t4oqgrektq20h/40821.pdf?rlkey=ye6o9kjp34wg2loii3cmhqcjt&amp;dl=0" xr:uid="{125CA637-CDDD-274B-956B-08210B0581BF}"/>
    <hyperlink ref="A648" r:id="rId118" display="https://www.dropbox.com/scl/fi/ti0z00klu6vch2g3gtgzr/40963.pdf?rlkey=50g6hdq69hvvmbcxvu9rgnm1p&amp;dl=0" xr:uid="{E15E21AA-DFD2-4A4E-97F0-61A5FDE0539A}"/>
    <hyperlink ref="A669" r:id="rId119" display="https://www.dropbox.com/scl/fi/rxjljym93ulaa05m8dfmo/41020.pdf?rlkey=s74a8nw2b9tk8yl3my6g4094a&amp;dl=0" xr:uid="{87E5CCA2-7DF4-1648-8647-D4A287B48194}"/>
    <hyperlink ref="A670" r:id="rId120" display="https://www.dropbox.com/scl/fi/4kkba2fr0pxfdgltoi2w1/41022.pdf?rlkey=bz9bhcxrudvxasryr3n5fjr77&amp;dl=0" xr:uid="{F023799A-EE6B-2B43-9654-7C6D036E9D78}"/>
    <hyperlink ref="A671" r:id="rId121" display="https://www.dropbox.com/scl/fi/5tmtbg3q8a4d9asiq583o/41023.pdf?rlkey=zkx937g2jnwhevjux0o9h7wwi&amp;dl=0" xr:uid="{BB559D16-A861-8A46-8FBD-51FFD8DDBC97}"/>
    <hyperlink ref="A672" r:id="rId122" display="https://www.dropbox.com/scl/fi/x8uubh3c9ihyig1adqmfp/41024.pdf?rlkey=nju2oxvnmtp4t428yik3cruu7&amp;dl=0" xr:uid="{1B3F178D-5C96-FA43-BA53-DCD6E757033B}"/>
    <hyperlink ref="A674" r:id="rId123" display="https://www.dropbox.com/scl/fi/140d8rnjynlstb1u0dli1/41043.pdf?rlkey=x6hhdejnrb334o2eg2vmx18wn&amp;dl=0" xr:uid="{78A64C67-98F9-154D-956C-25A31A240C90}"/>
    <hyperlink ref="A676" r:id="rId124" display="https://www.dropbox.com/scl/fi/w16iqe70l6embw0z54hkj/41046.pdf?rlkey=ilr15ga0xe1726pg7s21rti4n&amp;dl=0" xr:uid="{F7539E3B-C5FF-C84D-BE58-BF5193048A31}"/>
    <hyperlink ref="A679" r:id="rId125" display="https://www.dropbox.com/scl/fi/o2bdejeozcom2xrpzrzfv/41052.pdf?rlkey=okmg3x0vbwqhzsqj8s9u6mgpq&amp;dl=0" xr:uid="{AA3F3D43-3EDD-524D-836C-49B92DEB7A54}"/>
    <hyperlink ref="A693" r:id="rId126" display="https://www.dropbox.com/scl/fi/qe45nz60ookh5870d9juo/41076.pdf?rlkey=v199gojil316jwfgapsud1v2p&amp;dl=0" xr:uid="{6F0859C6-CE54-E94D-B235-C629780EB5B4}"/>
    <hyperlink ref="A697" r:id="rId127" display="https://www.dropbox.com/scl/fi/6axwi4xfvwoq5cengfnnz/41080.pdf?rlkey=36yquyxpwrx03mbnwr8980qh9&amp;dl=0" xr:uid="{032218B4-A300-A146-9EE5-43FBE68ADB0F}"/>
    <hyperlink ref="A698" r:id="rId128" display="https://www.dropbox.com/scl/fi/7ivzccpxbypade07cei1a/41081.pdf?rlkey=txcsve2bt8131k33rer888nep&amp;dl=0" xr:uid="{994374F3-1947-FB41-9ED5-AAB073453336}"/>
    <hyperlink ref="A699" r:id="rId129" display="https://www.dropbox.com/scl/fi/espfwfudjjzhzws0eukns/41082.pdf?rlkey=2gcupxjnr9u5750n0yirluav8&amp;dl=0" xr:uid="{CFFC8278-4CEE-7743-98F8-47F8D985306B}"/>
    <hyperlink ref="A700" r:id="rId130" display="https://www.dropbox.com/scl/fi/xhh6yxdhh8x9tul0fn3xv/41083.pdf?rlkey=i1vllbxb9w2gjl892tfrcdi9x&amp;dl=0" xr:uid="{44A0736C-E3C0-DA43-97AC-451CD1EDD252}"/>
    <hyperlink ref="A701" r:id="rId131" display="https://www.dropbox.com/scl/fi/1ih9fl5ely8g8bcchse1h/41085.pdf?rlkey=a00nkd4i1v6ov1r7a086ky2ar&amp;dl=0" xr:uid="{A60A2CA7-4E85-0444-96EC-90CC754C88C9}"/>
    <hyperlink ref="A704" r:id="rId132" display="https://www.dropbox.com/scl/fi/0uhpaf8h61tkffcwo4cu0/41089.pdf?rlkey=ul5zjgnmckic9axp923djkc3o&amp;dl=0" xr:uid="{71D602EB-C6FC-604E-B107-D4E7F318F483}"/>
    <hyperlink ref="A705" r:id="rId133" display="https://www.dropbox.com/scl/fi/87b0t1rx2smpgnoymz7lu/41093.pdf?rlkey=5t2ow8doxh9lnejxf3mtm19yc&amp;dl=0" xr:uid="{23120114-CF79-3D48-8D0F-80176C28166C}"/>
    <hyperlink ref="A709" r:id="rId134" display="https://www.dropbox.com/scl/fi/hfsx7vof4w20cbzkv9ue5/41113.pdf?rlkey=hz8a9cgez6noru60lpzly71my&amp;dl=0" xr:uid="{50698391-E676-FB46-9C96-6A08CFD37F0C}"/>
    <hyperlink ref="A713" r:id="rId135" display="https://www.dropbox.com/scl/fi/iv0707wxscy11fxmw6y72/41123.pdf?rlkey=cxct8hbf9bsuggp1zfzp7x9dr&amp;dl=0" xr:uid="{140A5510-F401-4B42-9253-453CDC84B8DB}"/>
    <hyperlink ref="A718" r:id="rId136" display="https://www.dropbox.com/scl/fi/28xzf79coxzdtatb4rf41/41136.pdf?rlkey=tiahkdj2wczn2t8jte77vbffu&amp;dl=0" xr:uid="{AC108EC8-CD42-6C47-B8B0-48FAF5A7F517}"/>
    <hyperlink ref="A719" r:id="rId137" display="https://www.dropbox.com/scl/fi/skl95au1ug0ez3zhj3cw2/41139.pdf?rlkey=fccnyx5r913gfxwvf38ow8vsn&amp;dl=0" xr:uid="{7517DAC0-75AD-C241-B42B-17DBE5BDFD19}"/>
    <hyperlink ref="A720" r:id="rId138" display="https://www.dropbox.com/scl/fi/fygu9ko3mt3aunrjawnhf/41140.pdf?rlkey=afkh4sgkouohhjoavpkg5x868&amp;dl=0" xr:uid="{298F91A9-E0DD-2A4C-ADA1-CF6A71D35C0B}"/>
    <hyperlink ref="A721" r:id="rId139" display="https://www.dropbox.com/scl/fi/6l5cpkarcvfkhw8o7dr50/41141.pdf?rlkey=psq9isprdhn4jhizknk0azqhb&amp;dl=0" xr:uid="{30C27140-CAE3-8B43-A626-C292E5BD6385}"/>
    <hyperlink ref="A727" r:id="rId140" display="https://www.dropbox.com/scl/fi/2xky80fky8ali1359n8nn/41149.pdf?rlkey=ocbfmalh9mdiakgyjjqbvzy94&amp;dl=0" xr:uid="{28FF330E-5EC2-2949-ABC4-987BD7875239}"/>
    <hyperlink ref="A729" r:id="rId141" display="https://www.dropbox.com/scl/fi/c1g4obku6vhi98jzkvcoq/41156.pdf?rlkey=qbr8z2gksc1tbc5zbzdcotkj6&amp;dl=0" xr:uid="{C9E9900C-BB8B-534D-A978-87A95285DE6A}"/>
    <hyperlink ref="A730" r:id="rId142" display="https://www.dropbox.com/scl/fi/o6d19nh780znnzvpdjqgq/41157.pdf?rlkey=lhyuv7ybnha0ss7pxsosafz9o&amp;dl=0" xr:uid="{341410D3-6BF6-EB43-A100-D799ABE4EE9E}"/>
    <hyperlink ref="A731" r:id="rId143" display="https://www.dropbox.com/scl/fi/lzwmld02thv5vqaf7w3bf/41159.pdf?rlkey=08mhpnmrs4oubqb7jv5ihwy19&amp;dl=0" xr:uid="{E8D642CA-CC56-FC44-84BB-9762229B7310}"/>
    <hyperlink ref="A732" r:id="rId144" display="https://www.dropbox.com/scl/fi/am91omdpjx1o8m7twjg4p/41165.pdf?rlkey=19nrzwnixhf1p2hsubb6s7d1j&amp;dl=0" xr:uid="{4A15650D-784B-E846-9A67-E21270D7DE26}"/>
    <hyperlink ref="A733" r:id="rId145" display="https://www.dropbox.com/scl/fi/57vvzs8miqxsj144qimxa/41166.pdf?rlkey=m58yos45po41pq6wpvx3nxeic&amp;dl=0" xr:uid="{8390437A-B3CA-0C49-A2B3-B033769C1FFF}"/>
    <hyperlink ref="A734" r:id="rId146" display="https://www.dropbox.com/scl/fi/z4ef5e645rvnfwtihtekr/41170.pdf?rlkey=4rdfdk0v63cmobhpfat191tkc&amp;dl=0" xr:uid="{85D23770-826E-AE4C-A22B-DC40D1990D14}"/>
    <hyperlink ref="A735" r:id="rId147" display="https://www.dropbox.com/scl/fi/d0xgya04wnx6dag2ukkjx/41171.pdf?rlkey=hl0k330l2y1ttk11f2qsurgql&amp;dl=0" xr:uid="{53AB66FB-52CC-424B-B446-D629BB6148AD}"/>
    <hyperlink ref="A736" r:id="rId148" display="https://www.dropbox.com/scl/fi/ptx1j26azcz20p27xbjgd/41173.pdf?rlkey=vm0t6vy6nnsx0z3vy2es8bhwn&amp;dl=0" xr:uid="{685BFEE7-4283-6741-A98B-1A2B6223D39A}"/>
    <hyperlink ref="A737" r:id="rId149" display="https://www.dropbox.com/scl/fi/2t2brqjz3fmx7oh45v7g3/41174.pdf?rlkey=skh4h3p15hyal0ymk661ufmwt&amp;dl=0" xr:uid="{F64EEF72-CED4-4B47-8FC5-C2AC93239212}"/>
    <hyperlink ref="A738" r:id="rId150" display="https://www.dropbox.com/scl/fi/3e4w1v4iqsj1i9oz5h2st/41175.pdf?rlkey=rvpq496oo358pwlkk5y48rf1t&amp;dl=0" xr:uid="{14DEC1A1-965E-7C49-BCE4-AB7F6CDFD02E}"/>
    <hyperlink ref="A739" r:id="rId151" display="https://www.dropbox.com/scl/fi/vq10guu0ql7jtp2a4or1o/41176.pdf?rlkey=o3ptplzwozafsazf73q2y8gjr&amp;dl=0" xr:uid="{23CA1232-95C0-DE4F-BC7A-45BE58449448}"/>
    <hyperlink ref="A742" r:id="rId152" display="https://www.dropbox.com/scl/fi/t4swpwc9na817go2d216h/41187.pdf?rlkey=qd77te2m1shc3hslallnxufoi&amp;dl=0" xr:uid="{6F330A00-8511-D54D-B101-56B05DCFBEB1}"/>
    <hyperlink ref="A743" r:id="rId153" display="https://www.dropbox.com/scl/fi/93nvn05nc59xa5yusygmm/41188.pdf?rlkey=l4fnotfaf0t0utzf9s2wbyoih&amp;dl=0" xr:uid="{27CB2C33-5A97-A946-8C12-3C7D41C38BF2}"/>
    <hyperlink ref="A744" r:id="rId154" display="https://www.dropbox.com/scl/fi/p5j2d802drpxg3v64t39r/41189.pdf?rlkey=z4vpaq2nvfyp311osyqf699yc&amp;dl=0" xr:uid="{39DC8250-6AF2-8F48-B743-06DCB4A89E78}"/>
    <hyperlink ref="A745" r:id="rId155" display="https://www.dropbox.com/scl/fi/xcsdgfzsg6h5l0fkszldy/41190.pdf?rlkey=mzz56yv0k7fy6q55kgqcit56d&amp;dl=0" xr:uid="{1E61203B-3923-3244-94FC-285949C61CDE}"/>
    <hyperlink ref="A746" r:id="rId156" display="https://www.dropbox.com/scl/fi/5ykphkicoyisd6n3271cx/41191.pdf?rlkey=23intokgxqf87pjgz8wzg7rab&amp;dl=0" xr:uid="{3306CB1D-EB17-D346-AA33-73665C006825}"/>
    <hyperlink ref="A747" r:id="rId157" display="https://www.dropbox.com/scl/fi/ojyx169gd9nw7nrx0vr8y/41192.pdf?rlkey=23fd847dxbwln1rcto8pf5ozo&amp;dl=0" xr:uid="{6E766831-9C32-6E4A-9E63-791470FB9AA8}"/>
    <hyperlink ref="A749" r:id="rId158" display="https://www.dropbox.com/scl/fi/2fcvhkf8elxd6ex1fsse9/41202.pdf?rlkey=oasmb37o6191osbr959tm1khh&amp;dl=0" xr:uid="{7CC0CF14-13C4-0543-A05F-DDE085F86FCB}"/>
    <hyperlink ref="A750" r:id="rId159" display="https://www.dropbox.com/scl/fi/7xl7oj1kp0o9ulmoraxs3/41207.pdf?rlkey=0n3fjg9w1eunoxy3hivfmi35k&amp;dl=0" xr:uid="{E5AAC83F-2DAD-E146-A92F-62D65E8EDCB7}"/>
    <hyperlink ref="A755" r:id="rId160" display="https://www.dropbox.com/scl/fi/ffm7prlhqj67cjl04b594/41217.pdf?rlkey=ht0gr7xp1w152gw7odp9y7ogi&amp;dl=0" xr:uid="{D588054F-B503-D44B-B01B-B9D5AF8FCA49}"/>
    <hyperlink ref="A756" r:id="rId161" display="https://www.dropbox.com/scl/fi/vfk4vm3nt94sfhso4p6eh/41218.pdf?rlkey=tnoamhd3l58vm60yfokx0otfv&amp;dl=0" xr:uid="{29BF6DF5-936F-8441-9DDA-E07EA45050DE}"/>
    <hyperlink ref="A757" r:id="rId162" display="https://www.dropbox.com/scl/fi/xxp4r9vd3vdpm9i8muglf/41219.pdf?rlkey=p09bq62vrnwur7gy0yimmwaq3&amp;dl=0" xr:uid="{221F97F4-E4E4-9D47-9AE9-8FB5DB829D9F}"/>
    <hyperlink ref="A758" r:id="rId163" display="https://www.dropbox.com/scl/fi/pnzk69helbrmekoe8oco4/41220.pdf?rlkey=61r4561t5zjcm1wytrdgbc8je&amp;dl=0" xr:uid="{A82CECA2-8929-8048-BC9F-B6B027C173E2}"/>
    <hyperlink ref="A759" r:id="rId164" display="https://www.dropbox.com/scl/fi/i55omco6ntpccvtjhy2ku/41221.pdf?rlkey=9fv3z3oidsv0ikq1oty9bi13l&amp;dl=0" xr:uid="{EF69CAA3-53A5-B242-A0E8-3EB3E6B19639}"/>
    <hyperlink ref="A760" r:id="rId165" display="https://www.dropbox.com/scl/fi/kgmxswrft8385bu2p8p3k/41222.pdf?rlkey=jfzsbw0rj6g4st3toqyvrs98d&amp;dl=0" xr:uid="{8C716EEA-8DD5-6242-94B0-B571B80B0E17}"/>
    <hyperlink ref="A761" r:id="rId166" display="https://www.dropbox.com/scl/fi/qq8n0myg41axnttw3ohi0/41223.pdf?rlkey=rsf5c3ls739qcref8xwsman6w&amp;dl=0" xr:uid="{AC79FE8B-E366-C149-88B8-130BAEB69DA8}"/>
    <hyperlink ref="A762" r:id="rId167" display="https://www.dropbox.com/scl/fi/mwd0c4uphuneqj6kjjy5v/41224.pdf?rlkey=gf93az8e3esv4g222iwmsei35&amp;dl=0" xr:uid="{89AB9B1C-D44B-1845-9837-DA7A5FB69D4E}"/>
    <hyperlink ref="A763" r:id="rId168" display="https://www.dropbox.com/scl/fi/a9s8ozhezg9bnwwnw7lxg/41225.pdf?rlkey=em1swh69en14lbhqj7k70s81i&amp;dl=0" xr:uid="{E56E9B43-5B47-B24A-A060-014FDBA7B5C5}"/>
    <hyperlink ref="A768" r:id="rId169" display="https://www.dropbox.com/scl/fi/f8pillqw9q37fgqx0e34p/41230.pdf?rlkey=6q3bq1pq0pke4ybshwa0exuct&amp;dl=0" xr:uid="{84297DDB-5669-7045-B341-31F2CAD2B7E6}"/>
    <hyperlink ref="A773" r:id="rId170" display="https://www.dropbox.com/scl/fi/8a0znwpic4n0728vvrsvp/41237.pdf?rlkey=odlu4gsaqdpedpy4ag4nooy6b&amp;dl=0" xr:uid="{8F66DA1A-9AED-2244-9F15-F0655A70B220}"/>
    <hyperlink ref="A778" r:id="rId171" display="https://www.dropbox.com/scl/fi/fpx1zv4hhufcfgsowbobf/41249.pdf?rlkey=9545074bowk12rjr8dfrj6eqd&amp;dl=0" xr:uid="{98EEE2CF-49F9-4D4D-A3E5-3602C36F43C3}"/>
    <hyperlink ref="A780" r:id="rId172" display="https://www.dropbox.com/scl/fi/uzhqhp392r7z4b814attl/41251.pdf?rlkey=5qvls4iwtp30hns5rw2yn9nja&amp;dl=0" xr:uid="{98FDED31-FE35-D041-9E96-9C82AF7E717D}"/>
    <hyperlink ref="A781" r:id="rId173" display="https://www.dropbox.com/scl/fi/4bzucxy333nzfx3fd5unm/41268.pdf?rlkey=bvh6ioj38ekitb7wwtosiq6wa&amp;dl=0" xr:uid="{9ACD4FB7-2DD3-1E47-8A26-EBDAA34F96E2}"/>
    <hyperlink ref="A790" r:id="rId174" display="https://www.dropbox.com/scl/fi/21bgidb51cl28hninz9nl/41290.pdf?rlkey=lsvo6oyfuf5mrsimkygddwsp7&amp;dl=0" xr:uid="{F27ADE9B-A48C-634B-BA14-751F53EAAF1F}"/>
    <hyperlink ref="A792" r:id="rId175" display="https://www.dropbox.com/scl/fi/txz868yzeo3llx50g3cxc/41292.pdf?rlkey=59po6wl1h6ngx6gpimqeoztix&amp;dl=0" xr:uid="{ACAB501B-3DED-AF4D-B40C-4B455A87E697}"/>
    <hyperlink ref="A794" r:id="rId176" display="https://www.dropbox.com/scl/fi/p6xvflo9tshr8hm0goac0/41294.pdf?rlkey=48zy1l1u4sg1t6agslsbt46m9&amp;dl=0" xr:uid="{A74DD4E3-C032-2E4B-B210-95D9CEEAEF87}"/>
    <hyperlink ref="A795" r:id="rId177" display="https://www.dropbox.com/scl/fi/lxquqrdy8m6d78dg9p2dw/41295.pdf?rlkey=9chete6n63oir8pmje8hng7v9&amp;dl=0" xr:uid="{10F7D36A-A12B-F94A-9B29-0A6B09EF9DC3}"/>
    <hyperlink ref="A796" r:id="rId178" display="https://www.dropbox.com/scl/fi/t1sc0ikmy9a28y0lsqki1/41296.pdf?rlkey=xclt5xayat9ta3f3owm7qe3rs&amp;dl=0" xr:uid="{FD327130-3ACE-3D49-ACF6-7170E3D1B24C}"/>
    <hyperlink ref="A797" r:id="rId179" display="https://www.dropbox.com/scl/fi/jhgy36i3w9fsxfvghx55b/41297.pdf?rlkey=467qrqxhmlr6tzwhorq2n2up8&amp;dl=0" xr:uid="{4EC49A02-D1C8-EF42-8FE0-F69C5AFCF1BA}"/>
    <hyperlink ref="A798" r:id="rId180" display="https://www.dropbox.com/scl/fi/ea3zvprxoerzj6pqmdocs/41298.pdf?rlkey=ofzbg0h41tn7bsxqexkon1rt4&amp;dl=0" xr:uid="{53A8F1E1-3F6D-8E48-9437-83019182A4D6}"/>
    <hyperlink ref="A799" r:id="rId181" display="https://www.dropbox.com/scl/fi/2q4bprx6f1eyot7kgmay3/41299.pdf?rlkey=mjvft3z6orzzxtfgkfqlp0qs0&amp;dl=0" xr:uid="{64D4DAE7-E71D-8147-96A7-6F8D63D53396}"/>
    <hyperlink ref="A800" r:id="rId182" display="https://www.dropbox.com/scl/fi/pq67pcvwd5qagfpazquaj/41300.pdf?rlkey=84olwg97shcsv4wek14nktyrw&amp;dl=0" xr:uid="{7A20A6D4-7D4B-1043-A506-CD4401CCE6A8}"/>
    <hyperlink ref="A801" r:id="rId183" display="https://www.dropbox.com/scl/fi/q6pwff8iwfgvhl7wzufqe/41301.pdf?rlkey=1u9gxpgguewqewt1z0c83u3b3&amp;dl=0" xr:uid="{C472BBB9-EC3A-AF43-A48B-20EC110B2E5C}"/>
    <hyperlink ref="A802" r:id="rId184" display="https://www.dropbox.com/scl/fi/iiexki0zyn7fkcpz9ui4u/41302.pdf?rlkey=kanslmp0lhuxfvbvkyoap7q50&amp;dl=0" xr:uid="{875501A1-7E27-D149-967C-594619BBF1A4}"/>
    <hyperlink ref="A805" r:id="rId185" display="https://www.dropbox.com/scl/fi/it1w2o1xg3rhtwobrohrz/41306.pdf?rlkey=oj63vvwyh0nh96i2e6wkfwzke&amp;dl=0" xr:uid="{AF26F381-D300-434B-8539-09BBD3E62C03}"/>
    <hyperlink ref="A808" r:id="rId186" display="https://www.dropbox.com/scl/fi/h3qlwkemi7fd72papw3b3/41318.pdf?rlkey=m4i67r47k4guyyeb4fwpgkgyt&amp;dl=0" xr:uid="{2A66319A-E9B7-BE4F-8E27-DD7A7273DB05}"/>
    <hyperlink ref="A815" r:id="rId187" display="https://www.dropbox.com/scl/fi/4s8wn1fitiq6kxv0475ei/41334.pdf?rlkey=wubaabeabj3kbk3usfj93aqci&amp;dl=0" xr:uid="{364CC6EC-EA18-2940-B90E-D4F62C7FF8FA}"/>
    <hyperlink ref="A817" r:id="rId188" display="https://www.dropbox.com/scl/fi/qn440n6w808w9w74b1086/41338.pdf?rlkey=7230ncbou2w3b3v98f56x97zl&amp;dl=0" xr:uid="{9704827D-EF60-5249-8892-99518670E095}"/>
    <hyperlink ref="A818" r:id="rId189" display="https://www.dropbox.com/scl/fi/h76rxw5w1872my5xtuv6q/41339.pdf?rlkey=5gchnpj86mvov9bdsrwd9sbf7&amp;dl=0" xr:uid="{3CEDC7EB-C087-7545-856E-326012B0F0AB}"/>
    <hyperlink ref="A819" r:id="rId190" display="https://www.dropbox.com/scl/fi/ojwcvrhn2t1dmjgmjsdvc/41342.pdf?rlkey=b7ix76kufej3p222lf88ppxau&amp;dl=0" xr:uid="{CCA91E5F-060C-FE4D-A5D7-788489432824}"/>
    <hyperlink ref="A820" r:id="rId191" display="https://www.dropbox.com/scl/fi/45wxyq03zsa867cjht9vo/41343.pdf?rlkey=753ygre47ulxw039msrqf5hzm&amp;dl=0" xr:uid="{799FCB99-B458-5C4B-AB6E-BBA936B0E483}"/>
    <hyperlink ref="A821" r:id="rId192" display="https://www.dropbox.com/scl/fi/hsxemkiqd6eppi9lo6p3z/41345.pdf?rlkey=gzbtlwaikrskgzff0a8f1dw7o&amp;dl=0" xr:uid="{9788B0EA-EBA1-5E41-ADF3-45E0C4D4CB7E}"/>
    <hyperlink ref="A826" r:id="rId193" display="https://www.dropbox.com/scl/fi/616hdosxavw8wwgmxdou9/41366.pdf?rlkey=i0vl6cksl05euxmjxifpabk43&amp;dl=0" xr:uid="{2479FB24-D064-EE4A-B253-F22340D0E84B}"/>
    <hyperlink ref="A827" r:id="rId194" display="https://www.dropbox.com/scl/fi/6j7jyw1mudqmwur454088/41367.pdf?rlkey=bdqsqrwbhi78sitk4g5ianswa&amp;dl=0" xr:uid="{9BB341B2-DC32-0F41-B54F-E36108682B76}"/>
    <hyperlink ref="A3" r:id="rId195" display="../01 2025/Dog/39275.pdf" xr:uid="{CFCCF01C-24A8-1A42-ABB1-90A75EB86CCA}"/>
    <hyperlink ref="A4" r:id="rId196" display="../01 2025/Dog/39336.pdf" xr:uid="{3865F49E-4A12-8C47-AC82-B21518ADD8B9}"/>
    <hyperlink ref="A5" r:id="rId197" display="../01 2025/Dog/39409.pdf" xr:uid="{7A950CB2-4952-654B-91A8-BE202D891269}"/>
    <hyperlink ref="A6" r:id="rId198" display="../01 2025/Dog/39411.pdf" xr:uid="{69BC36DC-D48E-C84A-95C5-C6258716247B}"/>
    <hyperlink ref="A7" r:id="rId199" display="https://www.dropbox.com/scl/fi/tmqkx86ww96u4ju50ma4i/39412.pdf?rlkey=j9yvkmkou7vweftxh37a4l8br&amp;dl=0" xr:uid="{B1C4AFBB-CE05-044E-98A4-B6CF4853858F}"/>
    <hyperlink ref="A8" r:id="rId200" display="https://www.dropbox.com/scl/fi/54dkgdncroy0f2pasg8wu/39413.pdf?rlkey=st9f439defjmm7k6566dli0d2&amp;dl=0" xr:uid="{0C564A5B-BDEF-134C-9BDC-084369307DD0}"/>
    <hyperlink ref="A9" r:id="rId201" display="https://www.dropbox.com/scl/fi/i3k0oum1k5sr5um39ujhk/39414.pdf?rlkey=jsf339wn7hx7h2wvskimgrr0h&amp;dl=0" xr:uid="{BC72CABE-F8F5-A14C-A63C-48204D8C0994}"/>
    <hyperlink ref="A10" r:id="rId202" display="https://www.dropbox.com/scl/fi/6b3hgqas0u1wftlh89vfg/39415.pdf?rlkey=uxcuav87og9ctd2vcdhyisiva&amp;dl=0" xr:uid="{0FDFC6BD-BEA4-9540-89CA-7C5A114F145F}"/>
    <hyperlink ref="A11" r:id="rId203" display="https://www.dropbox.com/scl/fi/pnfvik3irjbmvklvs7cpn/39416.pdf?rlkey=41jc6kf7jni62pdt4d766hgq7&amp;dl=0" xr:uid="{8E6B9444-2CE5-2F4F-AEE7-D8315E603B97}"/>
    <hyperlink ref="A12" r:id="rId204" display="https://www.dropbox.com/scl/fi/ka3w5c1vkrkwhqt5f6j13/39421.pdf?rlkey=clvt7ftl6jk8h3p2n8xl7bk4p&amp;dl=0" xr:uid="{200383B4-CAF6-AB4D-84D8-D735F1BA36F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18C51-E37A-6A48-947C-E9687C1CB753}">
  <sheetPr>
    <tabColor theme="4" tint="0.59999389629810485"/>
  </sheetPr>
  <dimension ref="A1:N63"/>
  <sheetViews>
    <sheetView workbookViewId="0">
      <selection activeCell="P29" sqref="P29"/>
    </sheetView>
  </sheetViews>
  <sheetFormatPr defaultColWidth="11" defaultRowHeight="15.75" x14ac:dyDescent="0.25"/>
  <cols>
    <col min="2" max="5" width="13.375" customWidth="1"/>
    <col min="8" max="13" width="13.375" customWidth="1"/>
    <col min="14" max="14" width="6.125" customWidth="1"/>
  </cols>
  <sheetData>
    <row r="1" spans="1:14" ht="36" customHeight="1" x14ac:dyDescent="0.25">
      <c r="A1" s="35" t="s">
        <v>350</v>
      </c>
      <c r="B1" s="35"/>
      <c r="C1" s="35"/>
      <c r="D1" s="35"/>
      <c r="E1" s="35"/>
      <c r="F1" s="18"/>
      <c r="G1" s="19"/>
      <c r="H1" s="35" t="s">
        <v>31</v>
      </c>
      <c r="I1" s="35"/>
      <c r="J1" s="35"/>
      <c r="K1" s="35"/>
      <c r="L1" s="35"/>
      <c r="M1" s="37">
        <f>M15/F15</f>
        <v>0.59781287970838393</v>
      </c>
      <c r="N1" s="37"/>
    </row>
    <row r="2" spans="1:14" x14ac:dyDescent="0.25">
      <c r="A2" s="9"/>
      <c r="B2" s="14" t="s">
        <v>209</v>
      </c>
      <c r="C2" s="14" t="s">
        <v>210</v>
      </c>
      <c r="D2" s="14" t="s">
        <v>208</v>
      </c>
      <c r="E2" s="14" t="s">
        <v>211</v>
      </c>
      <c r="F2" s="15" t="s">
        <v>202</v>
      </c>
      <c r="H2" s="9"/>
      <c r="I2" s="14" t="s">
        <v>209</v>
      </c>
      <c r="J2" s="14" t="s">
        <v>210</v>
      </c>
      <c r="K2" s="14" t="s">
        <v>208</v>
      </c>
      <c r="L2" s="14" t="s">
        <v>211</v>
      </c>
      <c r="M2" s="15" t="s">
        <v>202</v>
      </c>
      <c r="N2" s="15" t="s">
        <v>543</v>
      </c>
    </row>
    <row r="3" spans="1:14" x14ac:dyDescent="0.25">
      <c r="A3" t="s">
        <v>338</v>
      </c>
      <c r="B3">
        <f>COUNTIFS('Dogs - 2025'!$D:$D,"0-6 months",'Dogs - 2025'!$E:$E,"&gt;=01/01/2025",'Dogs - 2025'!$E:$E,"&lt;=1/31/2025")</f>
        <v>44</v>
      </c>
      <c r="C3">
        <f>COUNTIFS('Dogs - 2025'!$D:$D,"6-12 months",'Dogs - 2025'!$E:$E,"&gt;=01/01/2025",'Dogs - 2025'!$E:$E,"&lt;=1/31/2025")</f>
        <v>4</v>
      </c>
      <c r="D3">
        <f>COUNTIFS('Dogs - 2025'!$D:$D,"Adult",'Dogs - 2025'!$E:$E,"&gt;=01/01/2025",'Dogs - 2025'!$E:$E,"&lt;=1/31/2025")</f>
        <v>73</v>
      </c>
      <c r="E3">
        <f>COUNTIFS('Dogs - 2025'!$D:$D,"Senior",'Dogs - 2025'!$E:$E,"&gt;=01/01/2025",'Dogs - 2025'!$E:$E,"&lt;=1/31/2025")</f>
        <v>1</v>
      </c>
      <c r="F3" s="10">
        <f>SUM(B3:E3)</f>
        <v>122</v>
      </c>
      <c r="H3" t="s">
        <v>338</v>
      </c>
      <c r="I3">
        <f>COUNTIFS('Dogs - 2025'!$D:$D,"0-6 months",'Dogs - 2025'!$E:$E,"&gt;=01/01/2025",'Dogs - 2025'!$E:$E,"&lt;=1/31/2025",'Dogs - 2025'!$J:$J,"Euthanized")</f>
        <v>25</v>
      </c>
      <c r="J3">
        <f>COUNTIFS('Dogs - 2025'!$D:$D,"6-12 months",'Dogs - 2025'!$E:$E,"&gt;=01/01/2025",'Dogs - 2025'!$E:$E,"&lt;=1/31/2025",'Dogs - 2025'!$J:$J,"Euthanized")</f>
        <v>1</v>
      </c>
      <c r="K3">
        <f>COUNTIFS('Dogs - 2025'!$D:$D,"Adult",'Dogs - 2025'!$E:$E,"&gt;=01/01/2025",'Dogs - 2025'!$E:$E,"&lt;=1/31/2025",'Dogs - 2025'!$J:$J,"Euthanized")</f>
        <v>43</v>
      </c>
      <c r="L3">
        <f>COUNTIFS('Dogs - 2025'!$D:$D,"Senior",'Dogs - 2025'!$E:$E,"&gt;=01/01/2025",'Dogs - 2025'!$E:$E,"&lt;=1/31/2025",'Dogs - 2025'!$J:$J,"Euthanized")</f>
        <v>1</v>
      </c>
      <c r="M3" s="10">
        <f>SUM(I3:L3)</f>
        <v>70</v>
      </c>
      <c r="N3" s="21">
        <f>SUM(M3/F3)</f>
        <v>0.57377049180327866</v>
      </c>
    </row>
    <row r="4" spans="1:14" x14ac:dyDescent="0.25">
      <c r="A4" t="s">
        <v>339</v>
      </c>
      <c r="B4">
        <f>COUNTIFS('Dogs - 2025'!$D:$D,"0-6 months",'Dogs - 2025'!$E:$E,"&gt;=02/01/2025",'Dogs - 2025'!$E:$E,"&lt;=2/28/2025")</f>
        <v>18</v>
      </c>
      <c r="C4">
        <f>COUNTIFS('Dogs - 2025'!$D:$D,"6-12 months",'Dogs - 2025'!$E:$E,"&gt;=02/01/2025",'Dogs - 2025'!$E:$E,"&lt;=2/28/2025")</f>
        <v>3</v>
      </c>
      <c r="D4">
        <f>COUNTIFS('Dogs - 2025'!$D:$D,"Adult",'Dogs - 2025'!$E:$E,"&gt;=02/01/2025",'Dogs - 2025'!$E:$E,"&lt;=2/28/2025")</f>
        <v>61</v>
      </c>
      <c r="E4">
        <f>COUNTIFS('Dogs - 2025'!$D:$D,"Senior",'Dogs - 2025'!$E:$E,"&gt;=02/01/2025",'Dogs - 2025'!$E:$E,"&lt;=2/28/2025")</f>
        <v>7</v>
      </c>
      <c r="F4" s="10">
        <f t="shared" ref="F4:F14" si="0">SUM(B4:E4)</f>
        <v>89</v>
      </c>
      <c r="H4" t="s">
        <v>339</v>
      </c>
      <c r="I4">
        <f>COUNTIFS('Dogs - 2025'!$D:$D,"0-6 months",'Dogs - 2025'!$E:$E,"&gt;=02/01/2025",'Dogs - 2025'!$E:$E,"&lt;=2/28/2025",'Dogs - 2025'!$J:$J,"Euthanized")</f>
        <v>12</v>
      </c>
      <c r="J4">
        <f>COUNTIFS('Dogs - 2025'!$D:$D,"6-12 months",'Dogs - 2025'!$E:$E,"&gt;=02/01/2025",'Dogs - 2025'!$E:$E,"&lt;=2/28/2025",'Dogs - 2025'!$J:$J,"Euthanized")</f>
        <v>3</v>
      </c>
      <c r="K4">
        <f>COUNTIFS('Dogs - 2025'!$D:$D,"Adult",'Dogs - 2025'!$E:$E,"&gt;=02/01/2025",'Dogs - 2025'!$E:$E,"&lt;=2/28/2025",'Dogs - 2025'!$J:$J,"Euthanized")</f>
        <v>39</v>
      </c>
      <c r="L4">
        <f>COUNTIFS('Dogs - 2025'!$D:$D,"Senior",'Dogs - 2025'!$E:$E,"&gt;=02/01/2025",'Dogs - 2025'!$E:$E,"&lt;=2/28/2025",'Dogs - 2025'!$J:$J,"Euthanized")</f>
        <v>5</v>
      </c>
      <c r="M4" s="10">
        <f t="shared" ref="M4:M14" si="1">SUM(I4:L4)</f>
        <v>59</v>
      </c>
      <c r="N4" s="21">
        <f t="shared" ref="N4:N9" si="2">SUM(M4/F4)</f>
        <v>0.6629213483146067</v>
      </c>
    </row>
    <row r="5" spans="1:14" x14ac:dyDescent="0.25">
      <c r="A5" t="s">
        <v>340</v>
      </c>
      <c r="B5">
        <f>COUNTIFS('Dogs - 2025'!$D:$D,"0-6 months",'Dogs - 2025'!$E:$E,"&gt;=03/01/2025",'Dogs - 2025'!$E:$E,"&lt;=3/31/2025")</f>
        <v>60</v>
      </c>
      <c r="C5">
        <f>COUNTIFS('Dogs - 2025'!$D:$D,"6-12 months",'Dogs - 2025'!$E:$E,"&gt;=03/01/2025",'Dogs - 2025'!$E:$E,"&lt;=3/31/2025")</f>
        <v>10</v>
      </c>
      <c r="D5">
        <f>COUNTIFS('Dogs - 2025'!$D:$D,"Adult",'Dogs - 2025'!$E:$E,"&gt;=03/01/2025",'Dogs - 2025'!$E:$E,"&lt;=3/31/2025")</f>
        <v>70</v>
      </c>
      <c r="E5">
        <f>COUNTIFS('Dogs - 2025'!$D:$D,"Senior",'Dogs - 2025'!$E:$E,"&gt;=03/01/2025",'Dogs - 2025'!$E:$E,"&lt;=3/31/2025")</f>
        <v>6</v>
      </c>
      <c r="F5" s="10">
        <f t="shared" si="0"/>
        <v>146</v>
      </c>
      <c r="H5" t="s">
        <v>340</v>
      </c>
      <c r="I5">
        <f>COUNTIFS('Dogs - 2025'!$D:$D,"0-6 months",'Dogs - 2025'!$E:$E,"&gt;=03/01/2025",'Dogs - 2025'!$E:$E,"&lt;=3/31/2025",'Dogs - 2025'!$J:$J,"Euthanized")</f>
        <v>37</v>
      </c>
      <c r="J5">
        <f>COUNTIFS('Dogs - 2025'!$D:$D,"6-12 months",'Dogs - 2025'!$E:$E,"&gt;=03/01/2025",'Dogs - 2025'!$E:$E,"&lt;=3/31/2025",'Dogs - 2025'!$J:$J,"Euthanized")</f>
        <v>6</v>
      </c>
      <c r="K5">
        <f>COUNTIFS('Dogs - 2025'!$D:$D,"Adult",'Dogs - 2025'!$E:$E,"&gt;=03/01/2025",'Dogs - 2025'!$E:$E,"&lt;=3/31/2025",'Dogs - 2025'!$J:$J,"Euthanized")</f>
        <v>42</v>
      </c>
      <c r="L5">
        <f>COUNTIFS('Dogs - 2025'!$D:$D,"Senior",'Dogs - 2025'!$E:$E,"&gt;=03/01/2025",'Dogs - 2025'!$E:$E,"&lt;=3/31/2025",'Dogs - 2025'!$J:$J,"Euthanized")</f>
        <v>4</v>
      </c>
      <c r="M5" s="10">
        <f t="shared" si="1"/>
        <v>89</v>
      </c>
      <c r="N5" s="21">
        <f t="shared" si="2"/>
        <v>0.6095890410958904</v>
      </c>
    </row>
    <row r="6" spans="1:14" x14ac:dyDescent="0.25">
      <c r="A6" t="s">
        <v>341</v>
      </c>
      <c r="B6">
        <f>COUNTIFS('Dogs - 2025'!$D:$D,"0-6 months",'Dogs - 2025'!$E:$E,"&gt;=04/01/2025",'Dogs - 2025'!$E:$E,"&lt;=4/30/2025")</f>
        <v>51</v>
      </c>
      <c r="C6">
        <f>COUNTIFS('Dogs - 2025'!$D:$D,"6-12 months",'Dogs - 2025'!$E:$E,"&gt;=04/01/2025",'Dogs - 2025'!$E:$E,"&lt;=4/30/2025")</f>
        <v>8</v>
      </c>
      <c r="D6">
        <f>COUNTIFS('Dogs - 2025'!$D:$D,"Adult",'Dogs - 2025'!$E:$E,"&gt;=04/01/2025",'Dogs - 2025'!$E:$E,"&lt;=4/30/2025")</f>
        <v>46</v>
      </c>
      <c r="E6">
        <f>COUNTIFS('Dogs - 2025'!$D:$D,"Senior",'Dogs - 2025'!$E:$E,"&gt;=04/01/2025",'Dogs - 2025'!$E:$E,"&lt;=4/30/2025")</f>
        <v>1</v>
      </c>
      <c r="F6" s="10">
        <f t="shared" si="0"/>
        <v>106</v>
      </c>
      <c r="H6" t="s">
        <v>341</v>
      </c>
      <c r="I6">
        <f>COUNTIFS('Dogs - 2025'!$D:$D,"0-6 months",'Dogs - 2025'!$E:$E,"&gt;=04/01/2025",'Dogs - 2025'!$E:$E,"&lt;=4/30/2025",'Dogs - 2025'!$J:$J,"Euthanized")</f>
        <v>31</v>
      </c>
      <c r="J6">
        <f>COUNTIFS('Dogs - 2025'!$D:$D,"6-12 months",'Dogs - 2025'!$E:$E,"&gt;=04/01/2025",'Dogs - 2025'!$E:$E,"&lt;=4/30/2025",'Dogs - 2025'!$J:$J,"Euthanized")</f>
        <v>4</v>
      </c>
      <c r="K6">
        <f>COUNTIFS('Dogs - 2025'!$D:$D,"Adult",'Dogs - 2025'!$E:$E,"&gt;=04/01/2025",'Dogs - 2025'!$E:$E,"&lt;=4/30/2025",'Dogs - 2025'!$J:$J,"Euthanized")</f>
        <v>26</v>
      </c>
      <c r="L6">
        <f>COUNTIFS('Dogs - 2025'!$D:$D,"Senior",'Dogs - 2025'!$E:$E,"&gt;=04/01/2025",'Dogs - 2025'!$E:$E,"&lt;=4/30/2025",'Dogs - 2025'!$J:$J,"Euthanized")</f>
        <v>0</v>
      </c>
      <c r="M6" s="10">
        <f t="shared" si="1"/>
        <v>61</v>
      </c>
      <c r="N6" s="21">
        <f t="shared" si="2"/>
        <v>0.57547169811320753</v>
      </c>
    </row>
    <row r="7" spans="1:14" x14ac:dyDescent="0.25">
      <c r="A7" t="s">
        <v>342</v>
      </c>
      <c r="B7">
        <f>COUNTIFS('Dogs - 2025'!$D:$D,"0-6 months",'Dogs - 2025'!$E:$E,"&gt;=05/01/2025",'Dogs - 2025'!$E:$E,"&lt;=5/31/2025")</f>
        <v>24</v>
      </c>
      <c r="C7">
        <f>COUNTIFS('Dogs - 2025'!$D:$D,"6-12 months",'Dogs - 2025'!$E:$E,"&gt;=05/01/2025",'Dogs - 2025'!$E:$E,"&lt;=5/31/2025")</f>
        <v>10</v>
      </c>
      <c r="D7">
        <f>COUNTIFS('Dogs - 2025'!$D:$D,"Adult",'Dogs - 2025'!$E:$E,"&gt;=05/01/2025",'Dogs - 2025'!$E:$E,"&lt;=5/31/2025")</f>
        <v>65</v>
      </c>
      <c r="E7">
        <f>COUNTIFS('Dogs - 2025'!$D:$D,"Senior",'Dogs - 2025'!$E:$E,"&gt;=05/01/2025",'Dogs - 2025'!$E:$E,"&lt;=5/31/2025")</f>
        <v>4</v>
      </c>
      <c r="F7" s="10">
        <f t="shared" si="0"/>
        <v>103</v>
      </c>
      <c r="H7" t="s">
        <v>342</v>
      </c>
      <c r="I7">
        <f>COUNTIFS('Dogs - 2025'!$D:$D,"0-6 months",'Dogs - 2025'!$E:$E,"&gt;=05/01/2025",'Dogs - 2025'!$E:$E,"&lt;=5/31/2025",'Dogs - 2025'!$J:$J,"Euthanized")</f>
        <v>9</v>
      </c>
      <c r="J7">
        <f>COUNTIFS('Dogs - 2025'!$D:$D,"6-12 months",'Dogs - 2025'!$E:$E,"&gt;=05/01/2025",'Dogs - 2025'!$E:$E,"&lt;=5/31/2025",'Dogs - 2025'!$J:$J,"Euthanized")</f>
        <v>7</v>
      </c>
      <c r="K7">
        <f>COUNTIFS('Dogs - 2025'!$D:$D,"Adult",'Dogs - 2025'!$E:$E,"&gt;=05/01/2025",'Dogs - 2025'!$E:$E,"&lt;=5/31/2025",'Dogs - 2025'!$J:$J,"Euthanized")</f>
        <v>31</v>
      </c>
      <c r="L7">
        <f>COUNTIFS('Dogs - 2025'!$D:$D,"Senior",'Dogs - 2025'!$E:$E,"&gt;=05/01/2025",'Dogs - 2025'!$E:$E,"&lt;=5/31/2025",'Dogs - 2025'!$J:$J,"Euthanized")</f>
        <v>2</v>
      </c>
      <c r="M7" s="10">
        <f t="shared" si="1"/>
        <v>49</v>
      </c>
      <c r="N7" s="21">
        <f t="shared" si="2"/>
        <v>0.47572815533980584</v>
      </c>
    </row>
    <row r="8" spans="1:14" x14ac:dyDescent="0.25">
      <c r="A8" t="s">
        <v>343</v>
      </c>
      <c r="B8">
        <f>COUNTIFS('Dogs - 2025'!$D:$D,"0-6 months",'Dogs - 2025'!$E:$E,"&gt;=06/01/2025",'Dogs - 2025'!$E:$E,"&lt;=6/30/2025")</f>
        <v>30</v>
      </c>
      <c r="C8">
        <f>COUNTIFS('Dogs - 2025'!$D:$D,"6-12 months",'Dogs - 2025'!$E:$E,"&gt;=06/01/2025",'Dogs - 2025'!$E:$E,"&lt;=6/30/2025")</f>
        <v>13</v>
      </c>
      <c r="D8">
        <f>COUNTIFS('Dogs - 2025'!$D:$D,"Adult",'Dogs - 2025'!$E:$E,"&gt;=06/01/2025",'Dogs - 2025'!$E:$E,"&lt;=6/30/2025")</f>
        <v>67</v>
      </c>
      <c r="E8">
        <f>COUNTIFS('Dogs - 2025'!$D:$D,"Senior",'Dogs - 2025'!$E:$E,"&gt;=06/01/2025",'Dogs - 2025'!$E:$E,"&lt;=6/30/2025")</f>
        <v>2</v>
      </c>
      <c r="F8" s="10">
        <f t="shared" si="0"/>
        <v>112</v>
      </c>
      <c r="H8" t="s">
        <v>343</v>
      </c>
      <c r="I8">
        <f>COUNTIFS('Dogs - 2025'!$D:$D,"0-6 months",'Dogs - 2025'!$E:$E,"&gt;=06/01/2025",'Dogs - 2025'!$E:$E,"&lt;=6/30/2025",'Dogs - 2025'!$J:$J,"Euthanized")</f>
        <v>21</v>
      </c>
      <c r="J8">
        <f>COUNTIFS('Dogs - 2025'!$D:$D,"6-12 months",'Dogs - 2025'!$E:$E,"&gt;=06/01/2025",'Dogs - 2025'!$E:$E,"&lt;=6/30/2025",'Dogs - 2025'!$J:$J,"Euthanized")</f>
        <v>11</v>
      </c>
      <c r="K8">
        <f>COUNTIFS('Dogs - 2025'!$D:$D,"Adult",'Dogs - 2025'!$E:$E,"&gt;=06/01/2025",'Dogs - 2025'!$E:$E,"&lt;=6/30/2025",'Dogs - 2025'!$J:$J,"Euthanized")</f>
        <v>36</v>
      </c>
      <c r="L8">
        <f>COUNTIFS('Dogs - 2025'!$D:$D,"Senior",'Dogs - 2025'!$E:$E,"&gt;=06/01/2025",'Dogs - 2025'!$E:$E,"&lt;=6/30/2025",'Dogs - 2025'!$J:$J,"Euthanized")</f>
        <v>2</v>
      </c>
      <c r="M8" s="10">
        <f t="shared" si="1"/>
        <v>70</v>
      </c>
      <c r="N8" s="21">
        <f t="shared" si="2"/>
        <v>0.625</v>
      </c>
    </row>
    <row r="9" spans="1:14" x14ac:dyDescent="0.25">
      <c r="A9" t="s">
        <v>344</v>
      </c>
      <c r="B9">
        <f>COUNTIFS('Dogs - 2025'!$D:$D,"0-6 months",'Dogs - 2025'!$E:$E,"&gt;=07/01/2025",'Dogs - 2025'!$E:$E,"&lt;=7/31/2025")</f>
        <v>43</v>
      </c>
      <c r="C9">
        <f>COUNTIFS('Dogs - 2025'!$D:$D,"6-12 months",'Dogs - 2025'!$E:$E,"&gt;=07/01/2025",'Dogs - 2025'!$E:$E,"&lt;=7/31/2025")</f>
        <v>14</v>
      </c>
      <c r="D9">
        <f>COUNTIFS('Dogs - 2025'!$D:$D,"Adult",'Dogs - 2025'!$E:$E,"&gt;=07/01/2025",'Dogs - 2025'!$E:$E,"&lt;=7/31/2025")</f>
        <v>84</v>
      </c>
      <c r="E9">
        <f>COUNTIFS('Dogs - 2025'!$D:$D,"Senior",'Dogs - 2025'!$E:$E,"&gt;=07/01/2025",'Dogs - 2025'!$E:$E,"&lt;=7/31/2025")</f>
        <v>4</v>
      </c>
      <c r="F9" s="10">
        <f t="shared" si="0"/>
        <v>145</v>
      </c>
      <c r="H9" t="s">
        <v>344</v>
      </c>
      <c r="I9">
        <f>COUNTIFS('Dogs - 2025'!$D:$D,"0-6 months",'Dogs - 2025'!$E:$E,"&gt;=07/01/2025",'Dogs - 2025'!$E:$E,"&lt;=7/31/2025",'Dogs - 2025'!$J:$J,"Euthanized")</f>
        <v>35</v>
      </c>
      <c r="J9">
        <f>COUNTIFS('Dogs - 2025'!$D:$D,"6-12 months",'Dogs - 2025'!$E:$E,"&gt;=07/01/2025",'Dogs - 2025'!$E:$E,"&lt;=7/31/2025",'Dogs - 2025'!$J:$J,"Euthanized")</f>
        <v>7</v>
      </c>
      <c r="K9">
        <f>COUNTIFS('Dogs - 2025'!$D:$D,"Adult",'Dogs - 2025'!$E:$E,"&gt;=07/01/2025",'Dogs - 2025'!$E:$E,"&lt;=7/31/2025",'Dogs - 2025'!$J:$J,"Euthanized")</f>
        <v>48</v>
      </c>
      <c r="L9">
        <f>COUNTIFS('Dogs - 2025'!$D:$D,"Senior",'Dogs - 2025'!$E:$E,"&gt;=07/01/2025",'Dogs - 2025'!$E:$E,"&lt;=7/31/2025",'Dogs - 2025'!$J:$J,"Euthanized")</f>
        <v>4</v>
      </c>
      <c r="M9" s="10">
        <f t="shared" si="1"/>
        <v>94</v>
      </c>
      <c r="N9" s="21">
        <f t="shared" si="2"/>
        <v>0.64827586206896548</v>
      </c>
    </row>
    <row r="10" spans="1:14" x14ac:dyDescent="0.25">
      <c r="A10" t="s">
        <v>345</v>
      </c>
      <c r="B10">
        <f>COUNTIFS('Dogs - 2025'!$D:$D,"0-6 months",'Dogs - 2025'!$E:$E,"&gt;=08/01/2025",'Dogs - 2025'!$E:$E,"&lt;=8/31/2025")</f>
        <v>0</v>
      </c>
      <c r="C10">
        <f>COUNTIFS('Dogs - 2025'!$D:$D,"6-12 months",'Dogs - 2025'!$E:$E,"&gt;=08/01/2025",'Dogs - 2025'!$E:$E,"&lt;=8/31/2025")</f>
        <v>0</v>
      </c>
      <c r="D10">
        <f>COUNTIFS('Dogs - 2025'!$D:$D,"Adult",'Dogs - 2025'!$E:$E,"&gt;=08/01/2025",'Dogs - 2025'!$E:$E,"&lt;=8/31/2025")</f>
        <v>0</v>
      </c>
      <c r="E10">
        <f>COUNTIFS('Dogs - 2025'!$D:$D,"Senior",'Dogs - 2025'!$E:$E,"&gt;=08/01/2025",'Dogs - 2025'!$E:$E,"&lt;=8/31/2025")</f>
        <v>0</v>
      </c>
      <c r="F10" s="10">
        <f t="shared" si="0"/>
        <v>0</v>
      </c>
      <c r="H10" t="s">
        <v>345</v>
      </c>
      <c r="I10">
        <f>COUNTIFS('Dogs - 2025'!$D:$D,"0-6 months",'Dogs - 2025'!$E:$E,"&gt;=08/01/2025",'Dogs - 2025'!$E:$E,"&lt;=8/31/2025",'Dogs - 2025'!$J:$J,"Euthanized")</f>
        <v>0</v>
      </c>
      <c r="J10">
        <f>COUNTIFS('Dogs - 2025'!$D:$D,"6-12 months",'Dogs - 2025'!$E:$E,"&gt;=08/01/2025",'Dogs - 2025'!$E:$E,"&lt;=8/31/2025",'Dogs - 2025'!$J:$J,"Euthanized")</f>
        <v>0</v>
      </c>
      <c r="K10">
        <f>COUNTIFS('Dogs - 2025'!$D:$D,"Adult",'Dogs - 2025'!$E:$E,"&gt;=08/01/2025",'Dogs - 2025'!$E:$E,"&lt;=8/31/2025",'Dogs - 2025'!$J:$J,"Euthanized")</f>
        <v>0</v>
      </c>
      <c r="L10">
        <f>COUNTIFS('Dogs - 2025'!$D:$D,"Senior",'Dogs - 2025'!$E:$E,"&gt;=08/01/2025",'Dogs - 2025'!$E:$E,"&lt;=8/31/2025",'Dogs - 2025'!$J:$J,"Euthanized")</f>
        <v>0</v>
      </c>
      <c r="M10" s="10">
        <f t="shared" si="1"/>
        <v>0</v>
      </c>
      <c r="N10" s="21"/>
    </row>
    <row r="11" spans="1:14" x14ac:dyDescent="0.25">
      <c r="A11" t="s">
        <v>346</v>
      </c>
      <c r="B11">
        <f>COUNTIFS('Dogs - 2025'!$D:$D,"0-6 months",'Dogs - 2025'!$E:$E,"&gt;=09/01/2025",'Dogs - 2025'!$E:$E,"&lt;=9/30/2025")</f>
        <v>0</v>
      </c>
      <c r="C11">
        <f>COUNTIFS('Dogs - 2025'!$D:$D,"6-12 months",'Dogs - 2025'!$E:$E,"&gt;=09/01/2025",'Dogs - 2025'!$E:$E,"&lt;=9/30/2025")</f>
        <v>0</v>
      </c>
      <c r="D11">
        <f>COUNTIFS('Dogs - 2025'!$D:$D,"Adult",'Dogs - 2025'!$E:$E,"&gt;=09/01/2025",'Dogs - 2025'!$E:$E,"&lt;=9/30/2025")</f>
        <v>0</v>
      </c>
      <c r="E11">
        <f>COUNTIFS('Dogs - 2025'!$D:$D,"Senior",'Dogs - 2025'!$E:$E,"&gt;=09/01/2025",'Dogs - 2025'!$E:$E,"&lt;=9/30/2025")</f>
        <v>0</v>
      </c>
      <c r="F11" s="10">
        <f t="shared" si="0"/>
        <v>0</v>
      </c>
      <c r="H11" t="s">
        <v>346</v>
      </c>
      <c r="I11">
        <f>COUNTIFS('Dogs - 2025'!$D:$D,"0-6 months",'Dogs - 2025'!$E:$E,"&gt;=09/01/2025",'Dogs - 2025'!$E:$E,"&lt;=9/30/2025",'Dogs - 2025'!$J:$J,"Euthanized")</f>
        <v>0</v>
      </c>
      <c r="J11">
        <f>COUNTIFS('Dogs - 2025'!$D:$D,"6-12 months",'Dogs - 2025'!$E:$E,"&gt;=09/01/2025",'Dogs - 2025'!$E:$E,"&lt;=9/30/2025",'Dogs - 2025'!$J:$J,"Euthanized")</f>
        <v>0</v>
      </c>
      <c r="K11">
        <f>COUNTIFS('Dogs - 2025'!$D:$D,"Adult",'Dogs - 2025'!$E:$E,"&gt;=09/01/2025",'Dogs - 2025'!$E:$E,"&lt;=9/30/2025",'Dogs - 2025'!$J:$J,"Euthanized")</f>
        <v>0</v>
      </c>
      <c r="L11">
        <f>COUNTIFS('Dogs - 2025'!$D:$D,"Senior",'Dogs - 2025'!$E:$E,"&gt;=09/01/2025",'Dogs - 2025'!$E:$E,"&lt;=9/30/2025",'Dogs - 2025'!$J:$J,"Euthanized")</f>
        <v>0</v>
      </c>
      <c r="M11" s="10">
        <f t="shared" si="1"/>
        <v>0</v>
      </c>
      <c r="N11" s="21"/>
    </row>
    <row r="12" spans="1:14" x14ac:dyDescent="0.25">
      <c r="A12" t="s">
        <v>347</v>
      </c>
      <c r="B12">
        <f>COUNTIFS('Dogs - 2025'!$D:$D,"0-6 months",'Dogs - 2025'!$E:$E,"&gt;=10/01/2025",'Dogs - 2025'!$E:$E,"&lt;=10/31/2025")</f>
        <v>0</v>
      </c>
      <c r="C12">
        <f>COUNTIFS('Dogs - 2025'!$D:$D,"6-12 months",'Dogs - 2025'!$E:$E,"&gt;=10/01/2025",'Dogs - 2025'!$E:$E,"&lt;=10/31/2025")</f>
        <v>0</v>
      </c>
      <c r="D12">
        <f>COUNTIFS('Dogs - 2025'!$D:$D,"Adult",'Dogs - 2025'!$E:$E,"&gt;=10/01/2025",'Dogs - 2025'!$E:$E,"&lt;=10/31/2025")</f>
        <v>0</v>
      </c>
      <c r="E12">
        <f>COUNTIFS('Dogs - 2025'!$D:$D,"Senior",'Dogs - 2025'!$E:$E,"&gt;=10/01/2025",'Dogs - 2025'!$E:$E,"&lt;=10/31/2025")</f>
        <v>0</v>
      </c>
      <c r="F12" s="10">
        <f t="shared" si="0"/>
        <v>0</v>
      </c>
      <c r="H12" t="s">
        <v>347</v>
      </c>
      <c r="I12">
        <f>COUNTIFS('Dogs - 2025'!$D:$D,"0-6 months",'Dogs - 2025'!$E:$E,"&gt;=10/01/2025",'Dogs - 2025'!$E:$E,"&lt;=10/31/2025",'Dogs - 2025'!$J:$J,"Euthanized")</f>
        <v>0</v>
      </c>
      <c r="J12">
        <f>COUNTIFS('Dogs - 2025'!$D:$D,"6-12 months",'Dogs - 2025'!$E:$E,"&gt;=10/01/2025",'Dogs - 2025'!$E:$E,"&lt;=10/31/2025",'Dogs - 2025'!$J:$J,"Euthanized")</f>
        <v>0</v>
      </c>
      <c r="K12">
        <f>COUNTIFS('Dogs - 2025'!$D:$D,"Adult",'Dogs - 2025'!$E:$E,"&gt;=10/01/2025",'Dogs - 2025'!$E:$E,"&lt;=10/31/2025",'Dogs - 2025'!$J:$J,"Euthanized")</f>
        <v>0</v>
      </c>
      <c r="L12">
        <f>COUNTIFS('Dogs - 2025'!$D:$D,"Senior",'Dogs - 2025'!$E:$E,"&gt;=10/01/2025",'Dogs - 2025'!$E:$E,"&lt;=10/31/2025",'Dogs - 2025'!$J:$J,"Euthanized")</f>
        <v>0</v>
      </c>
      <c r="M12" s="10">
        <f t="shared" si="1"/>
        <v>0</v>
      </c>
      <c r="N12" s="21"/>
    </row>
    <row r="13" spans="1:14" x14ac:dyDescent="0.25">
      <c r="A13" t="s">
        <v>348</v>
      </c>
      <c r="B13">
        <f>COUNTIFS('Dogs - 2025'!$D:$D,"0-6 months",'Dogs - 2025'!$E:$E,"&gt;=11/01/2025",'Dogs - 2025'!$E:$E,"&lt;=11/30/2025")</f>
        <v>0</v>
      </c>
      <c r="C13">
        <f>COUNTIFS('Dogs - 2025'!$D:$D,"6-12 months",'Dogs - 2025'!$E:$E,"&gt;=11/01/2025",'Dogs - 2025'!$E:$E,"&lt;=11/30/2025")</f>
        <v>0</v>
      </c>
      <c r="D13">
        <f>COUNTIFS('Dogs - 2025'!$D:$D,"Adult",'Dogs - 2025'!$E:$E,"&gt;=11/01/2025",'Dogs - 2025'!$E:$E,"&lt;=11/30/2025")</f>
        <v>0</v>
      </c>
      <c r="E13">
        <f>COUNTIFS('Dogs - 2025'!$D:$D,"Senior",'Dogs - 2025'!$E:$E,"&gt;=11/01/2025",'Dogs - 2025'!$E:$E,"&lt;=11/30/2025")</f>
        <v>0</v>
      </c>
      <c r="F13" s="10">
        <f t="shared" si="0"/>
        <v>0</v>
      </c>
      <c r="H13" t="s">
        <v>348</v>
      </c>
      <c r="I13">
        <f>COUNTIFS('Dogs - 2025'!$D:$D,"0-6 months",'Dogs - 2025'!$E:$E,"&gt;=11/01/2025",'Dogs - 2025'!$E:$E,"&lt;=11/30/2025",'Dogs - 2025'!$J:$J,"Euthanized")</f>
        <v>0</v>
      </c>
      <c r="J13">
        <f>COUNTIFS('Dogs - 2025'!$D:$D,"6-12 months",'Dogs - 2025'!$E:$E,"&gt;=11/01/2025",'Dogs - 2025'!$E:$E,"&lt;=11/30/2025",'Dogs - 2025'!$J:$J,"Euthanized")</f>
        <v>0</v>
      </c>
      <c r="K13">
        <f>COUNTIFS('Dogs - 2025'!$D:$D,"Adult",'Dogs - 2025'!$E:$E,"&gt;=11/01/2025",'Dogs - 2025'!$E:$E,"&lt;=11/30/2025",'Dogs - 2025'!$J:$J,"Euthanized")</f>
        <v>0</v>
      </c>
      <c r="L13">
        <f>COUNTIFS('Dogs - 2025'!$D:$D,"Senior",'Dogs - 2025'!$E:$E,"&gt;=11/01/2025",'Dogs - 2025'!$E:$E,"&lt;=11/30/2025",'Dogs - 2025'!$J:$J,"Euthanized")</f>
        <v>0</v>
      </c>
      <c r="M13" s="10">
        <f t="shared" si="1"/>
        <v>0</v>
      </c>
      <c r="N13" s="21"/>
    </row>
    <row r="14" spans="1:14" x14ac:dyDescent="0.25">
      <c r="A14" t="s">
        <v>349</v>
      </c>
      <c r="B14">
        <f>COUNTIFS('Dogs - 2025'!$D:$D,"0-6 months",'Dogs - 2025'!$E:$E,"&gt;=12/01/2025",'Dogs - 2025'!$E:$E,"&lt;=12/31/2025")</f>
        <v>0</v>
      </c>
      <c r="C14">
        <f>COUNTIFS('Dogs - 2025'!$D:$D,"6-12 months",'Dogs - 2025'!$E:$E,"&gt;=12/01/2025",'Dogs - 2025'!$E:$E,"&lt;=12/31/2025")</f>
        <v>0</v>
      </c>
      <c r="D14">
        <f>COUNTIFS('Dogs - 2025'!$D:$D,"Adult",'Dogs - 2025'!$E:$E,"&gt;=12/01/2025",'Dogs - 2025'!$E:$E,"&lt;=12/31/2025")</f>
        <v>0</v>
      </c>
      <c r="E14">
        <f>COUNTIFS('Dogs - 2025'!$D:$D,"Senior",'Dogs - 2025'!$E:$E,"&gt;=12/01/2025",'Dogs - 2025'!$E:$E,"&lt;=12/31/2025")</f>
        <v>0</v>
      </c>
      <c r="F14" s="10">
        <f t="shared" si="0"/>
        <v>0</v>
      </c>
      <c r="H14" t="s">
        <v>349</v>
      </c>
      <c r="I14">
        <f>COUNTIFS('Dogs - 2025'!$D:$D,"0-6 months",'Dogs - 2025'!$E:$E,"&gt;=12/01/2025",'Dogs - 2025'!$E:$E,"&lt;=12/31/2025",'Dogs - 2025'!$J:$J,"Euthanized")</f>
        <v>0</v>
      </c>
      <c r="J14">
        <f>COUNTIFS('Dogs - 2025'!$D:$D,"6-12 months",'Dogs - 2025'!$E:$E,"&gt;=12/01/2025",'Dogs - 2025'!$E:$E,"&lt;=12/31/2025",'Dogs - 2025'!$J:$J,"Euthanized")</f>
        <v>0</v>
      </c>
      <c r="K14">
        <f>COUNTIFS('Dogs - 2025'!$D:$D,"Adult",'Dogs - 2025'!$E:$E,"&gt;=12/01/2025",'Dogs - 2025'!$E:$E,"&lt;=12/31/2025",'Dogs - 2025'!$J:$J,"Euthanized")</f>
        <v>0</v>
      </c>
      <c r="L14">
        <f>COUNTIFS('Dogs - 2025'!$D:$D,"Senior",'Dogs - 2025'!$E:$E,"&gt;=12/01/2025",'Dogs - 2025'!$E:$E,"&lt;=12/31/2025",'Dogs - 2025'!$J:$J,"Euthanized")</f>
        <v>0</v>
      </c>
      <c r="M14" s="10">
        <f t="shared" si="1"/>
        <v>0</v>
      </c>
      <c r="N14" s="21"/>
    </row>
    <row r="15" spans="1:14" x14ac:dyDescent="0.25">
      <c r="A15" s="13"/>
      <c r="B15" s="13">
        <f>SUM(B3:B14)</f>
        <v>270</v>
      </c>
      <c r="C15" s="13">
        <f t="shared" ref="C15:F15" si="3">SUM(C3:C14)</f>
        <v>62</v>
      </c>
      <c r="D15" s="13">
        <f t="shared" si="3"/>
        <v>466</v>
      </c>
      <c r="E15" s="13">
        <f t="shared" si="3"/>
        <v>25</v>
      </c>
      <c r="F15" s="13">
        <f t="shared" si="3"/>
        <v>823</v>
      </c>
      <c r="H15" s="13"/>
      <c r="I15" s="13">
        <f>SUM(I3:I14)</f>
        <v>170</v>
      </c>
      <c r="J15" s="13">
        <f t="shared" ref="J15:L15" si="4">SUM(J3:J14)</f>
        <v>39</v>
      </c>
      <c r="K15" s="13">
        <f t="shared" si="4"/>
        <v>265</v>
      </c>
      <c r="L15" s="13">
        <f t="shared" si="4"/>
        <v>18</v>
      </c>
      <c r="M15" s="13">
        <f>SUM(M3:M14)</f>
        <v>492</v>
      </c>
      <c r="N15" s="13"/>
    </row>
    <row r="17" spans="1:13" ht="35.1" customHeight="1" x14ac:dyDescent="0.25">
      <c r="A17" s="35" t="s">
        <v>18</v>
      </c>
      <c r="B17" s="35"/>
      <c r="C17" s="35"/>
      <c r="D17" s="35"/>
      <c r="E17" s="35"/>
      <c r="F17" s="17">
        <f>F31/F15</f>
        <v>9.9635479951397321E-2</v>
      </c>
      <c r="G17" s="19"/>
      <c r="H17" s="35" t="s">
        <v>11</v>
      </c>
      <c r="I17" s="35"/>
      <c r="J17" s="35"/>
      <c r="K17" s="35"/>
      <c r="L17" s="35"/>
      <c r="M17" s="17">
        <f>M31/F15</f>
        <v>0.13365735115431349</v>
      </c>
    </row>
    <row r="18" spans="1:13" x14ac:dyDescent="0.25">
      <c r="A18" s="9"/>
      <c r="B18" s="14" t="s">
        <v>209</v>
      </c>
      <c r="C18" s="14" t="s">
        <v>210</v>
      </c>
      <c r="D18" s="14" t="s">
        <v>208</v>
      </c>
      <c r="E18" s="14" t="s">
        <v>211</v>
      </c>
      <c r="F18" s="15" t="s">
        <v>202</v>
      </c>
      <c r="H18" s="9"/>
      <c r="I18" s="14" t="s">
        <v>209</v>
      </c>
      <c r="J18" s="14" t="s">
        <v>210</v>
      </c>
      <c r="K18" s="14" t="s">
        <v>208</v>
      </c>
      <c r="L18" s="14" t="s">
        <v>211</v>
      </c>
      <c r="M18" s="15" t="s">
        <v>202</v>
      </c>
    </row>
    <row r="19" spans="1:13" x14ac:dyDescent="0.25">
      <c r="A19" t="s">
        <v>338</v>
      </c>
      <c r="B19">
        <f>COUNTIFS('Dogs - 2025'!$D:$D,"0-6 months",'Dogs - 2025'!$E:$E,"&gt;=01/01/2025",'Dogs - 2025'!$E:$E,"&lt;=1/31/2025",'Dogs - 2025'!$J:$J,"Transferred")</f>
        <v>9</v>
      </c>
      <c r="C19">
        <f>COUNTIFS('Dogs - 2025'!$D:$D,"6-12 months",'Dogs - 2025'!$E:$E,"&gt;=01/01/2025",'Dogs - 2025'!$E:$E,"&lt;=1/31/2025",'Dogs - 2025'!$J:$J,"Transferred")</f>
        <v>2</v>
      </c>
      <c r="D19">
        <f>COUNTIFS('Dogs - 2025'!$D:$D,"Adult",'Dogs - 2025'!$E:$E,"&gt;=01/01/2025",'Dogs - 2025'!$E:$E,"&lt;=1/31/2025",'Dogs - 2025'!$J:$J,"Transferred")</f>
        <v>5</v>
      </c>
      <c r="E19">
        <f>COUNTIFS('Dogs - 2025'!$D:$D,"Senior",'Dogs - 2025'!$E:$E,"&gt;=01/01/2025",'Dogs - 2025'!$E:$E,"&lt;=1/31/2025",'Dogs - 2025'!$J:$J,"Transferred")</f>
        <v>0</v>
      </c>
      <c r="F19" s="10">
        <f>SUM(B19:E19)</f>
        <v>16</v>
      </c>
      <c r="H19" t="s">
        <v>338</v>
      </c>
      <c r="I19">
        <f>COUNTIFS('Dogs - 2025'!$D:$D,"0-6 months",'Dogs - 2025'!$E:$E,"&gt;=01/01/2025",'Dogs - 2025'!$E:$E,"&lt;=1/31/2025",'Dogs - 2025'!$J:$J,"Adopted")</f>
        <v>9</v>
      </c>
      <c r="J19">
        <f>COUNTIFS('Dogs - 2025'!$D:$D,"6-12 months",'Dogs - 2025'!$E:$E,"&gt;=01/01/2025",'Dogs - 2025'!$E:$E,"&lt;=1/31/2025",'Dogs - 2025'!$J:$J,"Adopted")</f>
        <v>1</v>
      </c>
      <c r="K19">
        <f>COUNTIFS('Dogs - 2025'!$D:$D,"Adult",'Dogs - 2025'!$E:$E,"&gt;=01/01/2025",'Dogs - 2025'!$E:$E,"&lt;=1/31/2025",'Dogs - 2025'!$J:$J,"Adopted")</f>
        <v>9</v>
      </c>
      <c r="L19">
        <f>COUNTIFS('Dogs - 2025'!$D:$D,"Senior",'Dogs - 2025'!$E:$E,"&gt;=01/01/2025",'Dogs - 2025'!$E:$E,"&lt;=1/31/2025",'Dogs - 2025'!$J:$J,"Adopted")</f>
        <v>0</v>
      </c>
      <c r="M19" s="10">
        <f>SUM(I19:L19)</f>
        <v>19</v>
      </c>
    </row>
    <row r="20" spans="1:13" x14ac:dyDescent="0.25">
      <c r="A20" t="s">
        <v>339</v>
      </c>
      <c r="B20">
        <f>COUNTIFS('Dogs - 2025'!$D:$D,"0-6 months",'Dogs - 2025'!$E:$E,"&gt;=02/01/2025",'Dogs - 2025'!$E:$E,"&lt;=2/28/2025",'Dogs - 2025'!$J:$J,"Transferred")</f>
        <v>5</v>
      </c>
      <c r="C20">
        <f>COUNTIFS('Dogs - 2025'!$D:$D,"6-12 months",'Dogs - 2025'!$E:$E,"&gt;=02/01/2025",'Dogs - 2025'!$E:$E,"&lt;=2/28/2025",'Dogs - 2025'!$J:$J,"Transferred")</f>
        <v>0</v>
      </c>
      <c r="D20">
        <f>COUNTIFS('Dogs - 2025'!$D:$D,"Adult",'Dogs - 2025'!$E:$E,"&gt;=02/01/2025",'Dogs - 2025'!$E:$E,"&lt;=2/28/2025",'Dogs - 2025'!$J:$J,"Transferred")</f>
        <v>8</v>
      </c>
      <c r="E20">
        <f>COUNTIFS('Dogs - 2025'!$D:$D,"Senior",'Dogs - 2025'!$E:$E,"&gt;=02/01/2025",'Dogs - 2025'!$E:$E,"&lt;=2/28/2025",'Dogs - 2025'!$J:$J,"Transferred")</f>
        <v>0</v>
      </c>
      <c r="F20" s="10">
        <f t="shared" ref="F20:F30" si="5">SUM(B20:E20)</f>
        <v>13</v>
      </c>
      <c r="H20" t="s">
        <v>339</v>
      </c>
      <c r="I20">
        <f>COUNTIFS('Dogs - 2025'!$D:$D,"0-6 months",'Dogs - 2025'!$E:$E,"&gt;=02/01/2025",'Dogs - 2025'!$E:$E,"&lt;=2/28/2025",'Dogs - 2025'!$J:$J,"Adopted")</f>
        <v>1</v>
      </c>
      <c r="J20">
        <f>COUNTIFS('Dogs - 2025'!$D:$D,"6-12 months",'Dogs - 2025'!$E:$E,"&gt;=02/01/2025",'Dogs - 2025'!$E:$E,"&lt;=2/28/2025",'Dogs - 2025'!$J:$J,"Adopted")</f>
        <v>0</v>
      </c>
      <c r="K20">
        <f>COUNTIFS('Dogs - 2025'!$D:$D,"Adult",'Dogs - 2025'!$E:$E,"&gt;=02/01/2025",'Dogs - 2025'!$E:$E,"&lt;=2/28/2025",'Dogs - 2025'!$J:$J,"Adopted")</f>
        <v>5</v>
      </c>
      <c r="L20">
        <f>COUNTIFS('Dogs - 2025'!$D:$D,"Senior",'Dogs - 2025'!$E:$E,"&gt;=02/01/2025",'Dogs - 2025'!$E:$E,"&lt;=2/28/2025",'Dogs - 2025'!$J:$J,"Adopted")</f>
        <v>0</v>
      </c>
      <c r="M20" s="10">
        <f t="shared" ref="M20:M30" si="6">SUM(I20:L20)</f>
        <v>6</v>
      </c>
    </row>
    <row r="21" spans="1:13" x14ac:dyDescent="0.25">
      <c r="A21" t="s">
        <v>340</v>
      </c>
      <c r="B21">
        <f>COUNTIFS('Dogs - 2025'!$D:$D,"0-6 months",'Dogs - 2025'!$E:$E,"&gt;=03/01/2025",'Dogs - 2025'!$E:$E,"&lt;=3/31/2025",'Dogs - 2025'!$J:$J,"Transferred")</f>
        <v>3</v>
      </c>
      <c r="C21">
        <f>COUNTIFS('Dogs - 2025'!$D:$D,"6-12 months",'Dogs - 2025'!$E:$E,"&gt;=03/01/2025",'Dogs - 2025'!$E:$E,"&lt;=3/31/2025",'Dogs - 2025'!$J:$J,"Transferred")</f>
        <v>1</v>
      </c>
      <c r="D21">
        <f>COUNTIFS('Dogs - 2025'!$D:$D,"Adult",'Dogs - 2025'!$E:$E,"&gt;=03/01/2025",'Dogs - 2025'!$E:$E,"&lt;=3/31/2025",'Dogs - 2025'!$J:$J,"Transferred")</f>
        <v>5</v>
      </c>
      <c r="E21">
        <f>COUNTIFS('Dogs - 2025'!$D:$D,"Senior",'Dogs - 2025'!$E:$E,"&gt;=03/01/2025",'Dogs - 2025'!$E:$E,"&lt;=3/31/2025",'Dogs - 2025'!$J:$J,"Transferred")</f>
        <v>0</v>
      </c>
      <c r="F21" s="10">
        <f t="shared" si="5"/>
        <v>9</v>
      </c>
      <c r="H21" t="s">
        <v>340</v>
      </c>
      <c r="I21">
        <f>COUNTIFS('Dogs - 2025'!$D:$D,"0-6 months",'Dogs - 2025'!$E:$E,"&gt;=03/01/2025",'Dogs - 2025'!$E:$E,"&lt;=3/31/2025",'Dogs - 2025'!$J:$J,"Adopted")</f>
        <v>20</v>
      </c>
      <c r="J21">
        <f>COUNTIFS('Dogs - 2025'!$D:$D,"6-12 months",'Dogs - 2025'!$E:$E,"&gt;=03/01/2025",'Dogs - 2025'!$E:$E,"&lt;=3/31/2025",'Dogs - 2025'!$J:$J,"Adopted")</f>
        <v>3</v>
      </c>
      <c r="K21">
        <f>COUNTIFS('Dogs - 2025'!$D:$D,"Adult",'Dogs - 2025'!$E:$E,"&gt;=03/01/2025",'Dogs - 2025'!$E:$E,"&lt;=3/31/2025",'Dogs - 2025'!$J:$J,"Adopted")</f>
        <v>8</v>
      </c>
      <c r="L21">
        <f>COUNTIFS('Dogs - 2025'!$D:$D,"Senior",'Dogs - 2025'!$E:$E,"&gt;=03/01/2025",'Dogs - 2025'!$E:$E,"&lt;=3/31/2025",'Dogs - 2025'!$J:$J,"Adopted")</f>
        <v>0</v>
      </c>
      <c r="M21" s="10">
        <f t="shared" si="6"/>
        <v>31</v>
      </c>
    </row>
    <row r="22" spans="1:13" x14ac:dyDescent="0.25">
      <c r="A22" t="s">
        <v>341</v>
      </c>
      <c r="B22">
        <f>COUNTIFS('Dogs - 2025'!$D:$D,"0-6 months",'Dogs - 2025'!$E:$E,"&gt;=04/01/2025",'Dogs - 2025'!$E:$E,"&lt;=4/30/2025",'Dogs - 2025'!$J:$J,"Transferred")</f>
        <v>8</v>
      </c>
      <c r="C22">
        <f>COUNTIFS('Dogs - 2025'!$D:$D,"6-12 months",'Dogs - 2025'!$E:$E,"&gt;=04/01/2025",'Dogs - 2025'!$E:$E,"&lt;=4/30/2025",'Dogs - 2025'!$J:$J,"Transferred")</f>
        <v>2</v>
      </c>
      <c r="D22">
        <f>COUNTIFS('Dogs - 2025'!$D:$D,"Adult",'Dogs - 2025'!$E:$E,"&gt;=04/01/2025",'Dogs - 2025'!$E:$E,"&lt;=4/30/2025",'Dogs - 2025'!$J:$J,"Transferred")</f>
        <v>2</v>
      </c>
      <c r="E22">
        <f>COUNTIFS('Dogs - 2025'!$D:$D,"Senior",'Dogs - 2025'!$E:$E,"&gt;=04/01/2025",'Dogs - 2025'!$E:$E,"&lt;=4/30/2025",'Dogs - 2025'!$J:$J,"Transferred")</f>
        <v>0</v>
      </c>
      <c r="F22" s="10">
        <f t="shared" si="5"/>
        <v>12</v>
      </c>
      <c r="H22" t="s">
        <v>341</v>
      </c>
      <c r="I22">
        <f>COUNTIFS('Dogs - 2025'!$D:$D,"0-6 months",'Dogs - 2025'!$E:$E,"&gt;=04/01/2025",'Dogs - 2025'!$E:$E,"&lt;=4/30/2025",'Dogs - 2025'!$J:$J,"Adopted")</f>
        <v>8</v>
      </c>
      <c r="J22">
        <f>COUNTIFS('Dogs - 2025'!$D:$D,"6-12 months",'Dogs - 2025'!$E:$E,"&gt;=04/01/2025",'Dogs - 2025'!$E:$E,"&lt;=4/30/2025",'Dogs - 2025'!$J:$J,"Adopted")</f>
        <v>2</v>
      </c>
      <c r="K22">
        <f>COUNTIFS('Dogs - 2025'!$D:$D,"Adult",'Dogs - 2025'!$E:$E,"&gt;=04/01/2025",'Dogs - 2025'!$E:$E,"&lt;=4/30/2025",'Dogs - 2025'!$J:$J,"Adopted")</f>
        <v>5</v>
      </c>
      <c r="L22">
        <f>COUNTIFS('Dogs - 2025'!$D:$D,"Senior",'Dogs - 2025'!$E:$E,"&gt;=04/01/2025",'Dogs - 2025'!$E:$E,"&lt;=4/30/2025",'Dogs - 2025'!$J:$J,"Adopted")</f>
        <v>0</v>
      </c>
      <c r="M22" s="10">
        <f t="shared" si="6"/>
        <v>15</v>
      </c>
    </row>
    <row r="23" spans="1:13" x14ac:dyDescent="0.25">
      <c r="A23" t="s">
        <v>342</v>
      </c>
      <c r="B23">
        <f>COUNTIFS('Dogs - 2025'!$D:$D,"0-6 months",'Dogs - 2025'!$E:$E,"&gt;=05/01/2025",'Dogs - 2025'!$E:$E,"&lt;=5/31/2025",'Dogs - 2025'!$J:$J,"Transferred")</f>
        <v>3</v>
      </c>
      <c r="C23">
        <f>COUNTIFS('Dogs - 2025'!$D:$D,"6-12 months",'Dogs - 2025'!$E:$E,"&gt;=05/01/2025",'Dogs - 2025'!$E:$E,"&lt;=5/31/2025",'Dogs - 2025'!$J:$J,"Transferred")</f>
        <v>0</v>
      </c>
      <c r="D23">
        <f>COUNTIFS('Dogs - 2025'!$D:$D,"Adult",'Dogs - 2025'!$E:$E,"&gt;=05/01/2025",'Dogs - 2025'!$E:$E,"&lt;=5/31/2025",'Dogs - 2025'!$J:$J,"Transferred")</f>
        <v>8</v>
      </c>
      <c r="E23">
        <f>COUNTIFS('Dogs - 2025'!$D:$D,"Senior",'Dogs - 2025'!$E:$E,"&gt;=05/01/2025",'Dogs - 2025'!$E:$E,"&lt;=5/31/2025",'Dogs - 2025'!$J:$J,"Transferred")</f>
        <v>0</v>
      </c>
      <c r="F23" s="10">
        <f t="shared" si="5"/>
        <v>11</v>
      </c>
      <c r="H23" t="s">
        <v>342</v>
      </c>
      <c r="I23">
        <f>COUNTIFS('Dogs - 2025'!$D:$D,"0-6 months",'Dogs - 2025'!$E:$E,"&gt;=05/01/2025",'Dogs - 2025'!$E:$E,"&lt;=5/31/2025",'Dogs - 2025'!$J:$J,"Adopted")</f>
        <v>8</v>
      </c>
      <c r="J23">
        <f>COUNTIFS('Dogs - 2025'!$D:$D,"6-12 months",'Dogs - 2025'!$E:$E,"&gt;=05/01/2025",'Dogs - 2025'!$E:$E,"&lt;=5/31/2025",'Dogs - 2025'!$J:$J,"Adopted")</f>
        <v>2</v>
      </c>
      <c r="K23">
        <f>COUNTIFS('Dogs - 2025'!$D:$D,"Adult",'Dogs - 2025'!$E:$E,"&gt;=05/01/2025",'Dogs - 2025'!$E:$E,"&lt;=5/31/2025",'Dogs - 2025'!$J:$J,"Adopted")</f>
        <v>4</v>
      </c>
      <c r="L23">
        <f>COUNTIFS('Dogs - 2025'!$D:$D,"Senior",'Dogs - 2025'!$E:$E,"&gt;=05/01/2025",'Dogs - 2025'!$E:$E,"&lt;=5/31/2025",'Dogs - 2025'!$J:$J,"Adopted")</f>
        <v>0</v>
      </c>
      <c r="M23" s="10">
        <f t="shared" si="6"/>
        <v>14</v>
      </c>
    </row>
    <row r="24" spans="1:13" x14ac:dyDescent="0.25">
      <c r="A24" t="s">
        <v>343</v>
      </c>
      <c r="B24">
        <f>COUNTIFS('Dogs - 2025'!$D:$D,"0-6 months",'Dogs - 2025'!$E:$E,"&gt;=06/01/2025",'Dogs - 2025'!$E:$E,"&lt;=6/30/2025",'Dogs - 2025'!$J:$J,"Transferred")</f>
        <v>0</v>
      </c>
      <c r="C24">
        <f>COUNTIFS('Dogs - 2025'!$D:$D,"6-12 months",'Dogs - 2025'!$E:$E,"&gt;=06/01/2025",'Dogs - 2025'!$E:$E,"&lt;=6/30/2025",'Dogs - 2025'!$J:$J,"Transferred")</f>
        <v>0</v>
      </c>
      <c r="D24">
        <f>COUNTIFS('Dogs - 2025'!$D:$D,"Adult",'Dogs - 2025'!$E:$E,"&gt;=06/01/2025",'Dogs - 2025'!$E:$E,"&lt;=6/30/2025",'Dogs - 2025'!$J:$J,"Transferred")</f>
        <v>6</v>
      </c>
      <c r="E24">
        <f>COUNTIFS('Dogs - 2025'!$D:$D,"Senior",'Dogs - 2025'!$E:$E,"&gt;=06/01/2025",'Dogs - 2025'!$E:$E,"&lt;=6/30/2025",'Dogs - 2025'!$J:$J,"Transferred")</f>
        <v>0</v>
      </c>
      <c r="F24" s="10">
        <f t="shared" si="5"/>
        <v>6</v>
      </c>
      <c r="H24" t="s">
        <v>343</v>
      </c>
      <c r="I24">
        <f>COUNTIFS('Dogs - 2025'!$D:$D,"0-6 months",'Dogs - 2025'!$E:$E,"&gt;=06/01/2025",'Dogs - 2025'!$E:$E,"&lt;=6/30/2025",'Dogs - 2025'!$J:$J,"Adopted")</f>
        <v>6</v>
      </c>
      <c r="J24">
        <f>COUNTIFS('Dogs - 2025'!$D:$D,"6-12 months",'Dogs - 2025'!$E:$E,"&gt;=06/01/2025",'Dogs - 2025'!$E:$E,"&lt;=6/30/2025",'Dogs - 2025'!$J:$J,"Adopted")</f>
        <v>2</v>
      </c>
      <c r="K24">
        <f>COUNTIFS('Dogs - 2025'!$D:$D,"Adult",'Dogs - 2025'!$E:$E,"&gt;=06/01/2025",'Dogs - 2025'!$E:$E,"&lt;=6/30/2025",'Dogs - 2025'!$J:$J,"Adopted")</f>
        <v>6</v>
      </c>
      <c r="L24">
        <f>COUNTIFS('Dogs - 2025'!$D:$D,"Senior",'Dogs - 2025'!$E:$E,"&gt;=06/01/2025",'Dogs - 2025'!$E:$E,"&lt;=6/30/2025",'Dogs - 2025'!$J:$J,"Adopted")</f>
        <v>0</v>
      </c>
      <c r="M24" s="10">
        <f t="shared" si="6"/>
        <v>14</v>
      </c>
    </row>
    <row r="25" spans="1:13" x14ac:dyDescent="0.25">
      <c r="A25" t="s">
        <v>344</v>
      </c>
      <c r="B25">
        <f>COUNTIFS('Dogs - 2025'!$D:$D,"0-6 months",'Dogs - 2025'!$E:$E,"&gt;=07/01/2025",'Dogs - 2025'!$E:$E,"&lt;=7/31/2025",'Dogs - 2025'!$J:$J,"Transferred")</f>
        <v>0</v>
      </c>
      <c r="C25">
        <f>COUNTIFS('Dogs - 2025'!$D:$D,"6-12 months",'Dogs - 2025'!$E:$E,"&gt;=07/01/2025",'Dogs - 2025'!$E:$E,"&lt;=7/31/2025",'Dogs - 2025'!$J:$J,"Transferred")</f>
        <v>3</v>
      </c>
      <c r="D25">
        <f>COUNTIFS('Dogs - 2025'!$D:$D,"Adult",'Dogs - 2025'!$E:$E,"&gt;=07/01/2025",'Dogs - 2025'!$E:$E,"&lt;=7/31/2025",'Dogs - 2025'!$J:$J,"Transferred")</f>
        <v>12</v>
      </c>
      <c r="E25">
        <f>COUNTIFS('Dogs - 2025'!$D:$D,"Senior",'Dogs - 2025'!$E:$E,"&gt;=07/01/2025",'Dogs - 2025'!$E:$E,"&lt;=7/31/2025",'Dogs - 2025'!$J:$J,"Transferred")</f>
        <v>0</v>
      </c>
      <c r="F25" s="10">
        <f t="shared" si="5"/>
        <v>15</v>
      </c>
      <c r="H25" t="s">
        <v>344</v>
      </c>
      <c r="I25">
        <f>COUNTIFS('Dogs - 2025'!$D:$D,"0-6 months",'Dogs - 2025'!$E:$E,"&gt;=07/01/2025",'Dogs - 2025'!$E:$E,"&lt;=7/31/2025",'Dogs - 2025'!$J:$J,"Adopted")</f>
        <v>2</v>
      </c>
      <c r="J25">
        <f>COUNTIFS('Dogs - 2025'!$D:$D,"6-12 months",'Dogs - 2025'!$E:$E,"&gt;=07/01/2025",'Dogs - 2025'!$E:$E,"&lt;=7/31/2025",'Dogs - 2025'!$J:$J,"Adopted")</f>
        <v>3</v>
      </c>
      <c r="K25">
        <f>COUNTIFS('Dogs - 2025'!$D:$D,"Adult",'Dogs - 2025'!$E:$E,"&gt;=07/01/2025",'Dogs - 2025'!$E:$E,"&lt;=7/31/2025",'Dogs - 2025'!$J:$J,"Adopted")</f>
        <v>6</v>
      </c>
      <c r="L25">
        <f>COUNTIFS('Dogs - 2025'!$D:$D,"Senior",'Dogs - 2025'!$E:$E,"&gt;=07/01/2025",'Dogs - 2025'!$E:$E,"&lt;=7/31/2025",'Dogs - 2025'!$J:$J,"Adopted")</f>
        <v>0</v>
      </c>
      <c r="M25" s="10">
        <f t="shared" si="6"/>
        <v>11</v>
      </c>
    </row>
    <row r="26" spans="1:13" x14ac:dyDescent="0.25">
      <c r="A26" t="s">
        <v>345</v>
      </c>
      <c r="B26">
        <f>COUNTIFS('Dogs - 2025'!$D:$D,"0-6 months",'Dogs - 2025'!$E:$E,"&gt;=08/01/2025",'Dogs - 2025'!$E:$E,"&lt;=8/31/2025",'Dogs - 2025'!$J:$J,"Transferred")</f>
        <v>0</v>
      </c>
      <c r="C26">
        <f>COUNTIFS('Dogs - 2025'!$D:$D,"6-12 months",'Dogs - 2025'!$E:$E,"&gt;=08/01/2025",'Dogs - 2025'!$E:$E,"&lt;=8/31/2025",'Dogs - 2025'!$J:$J,"Transferred")</f>
        <v>0</v>
      </c>
      <c r="D26">
        <f>COUNTIFS('Dogs - 2025'!$D:$D,"Adult",'Dogs - 2025'!$E:$E,"&gt;=08/01/2025",'Dogs - 2025'!$E:$E,"&lt;=8/31/2025",'Dogs - 2025'!$J:$J,"Transferred")</f>
        <v>0</v>
      </c>
      <c r="E26">
        <f>COUNTIFS('Dogs - 2025'!$D:$D,"Senior",'Dogs - 2025'!$E:$E,"&gt;=08/01/2025",'Dogs - 2025'!$E:$E,"&lt;=8/31/2025",'Dogs - 2025'!$J:$J,"Transferred")</f>
        <v>0</v>
      </c>
      <c r="F26" s="10">
        <f t="shared" si="5"/>
        <v>0</v>
      </c>
      <c r="H26" t="s">
        <v>345</v>
      </c>
      <c r="I26">
        <f>COUNTIFS('Dogs - 2025'!$D:$D,"0-6 months",'Dogs - 2025'!$E:$E,"&gt;=08/01/2025",'Dogs - 2025'!$E:$E,"&lt;=8/31/2025",'Dogs - 2025'!$J:$J,"Adopted")</f>
        <v>0</v>
      </c>
      <c r="J26">
        <f>COUNTIFS('Dogs - 2025'!$D:$D,"6-12 months",'Dogs - 2025'!$E:$E,"&gt;=08/01/2025",'Dogs - 2025'!$E:$E,"&lt;=8/31/2025",'Dogs - 2025'!$J:$J,"Adopted")</f>
        <v>0</v>
      </c>
      <c r="K26">
        <f>COUNTIFS('Dogs - 2025'!$D:$D,"Adult",'Dogs - 2025'!$E:$E,"&gt;=08/01/2025",'Dogs - 2025'!$E:$E,"&lt;=8/31/2025",'Dogs - 2025'!$J:$J,"Adopted")</f>
        <v>0</v>
      </c>
      <c r="L26">
        <f>COUNTIFS('Dogs - 2025'!$D:$D,"Senior",'Dogs - 2025'!$E:$E,"&gt;=08/01/2025",'Dogs - 2025'!$E:$E,"&lt;=8/31/2025",'Dogs - 2025'!$J:$J,"Adopted")</f>
        <v>0</v>
      </c>
      <c r="M26" s="10">
        <f t="shared" si="6"/>
        <v>0</v>
      </c>
    </row>
    <row r="27" spans="1:13" x14ac:dyDescent="0.25">
      <c r="A27" t="s">
        <v>346</v>
      </c>
      <c r="B27">
        <f>COUNTIFS('Dogs - 2025'!$D:$D,"0-6 months",'Dogs - 2025'!$E:$E,"&gt;=09/01/2025",'Dogs - 2025'!$E:$E,"&lt;=9/30/2025",'Dogs - 2025'!$J:$J,"Transferred")</f>
        <v>0</v>
      </c>
      <c r="C27">
        <f>COUNTIFS('Dogs - 2025'!$D:$D,"6-12 months",'Dogs - 2025'!$E:$E,"&gt;=09/01/2025",'Dogs - 2025'!$E:$E,"&lt;=9/30/2025",'Dogs - 2025'!$J:$J,"Transferred")</f>
        <v>0</v>
      </c>
      <c r="D27">
        <f>COUNTIFS('Dogs - 2025'!$D:$D,"Adult",'Dogs - 2025'!$E:$E,"&gt;=09/01/2025",'Dogs - 2025'!$E:$E,"&lt;=9/30/2025",'Dogs - 2025'!$J:$J,"Transferred")</f>
        <v>0</v>
      </c>
      <c r="E27">
        <f>COUNTIFS('Dogs - 2025'!$D:$D,"Senior",'Dogs - 2025'!$E:$E,"&gt;=09/01/2025",'Dogs - 2025'!$E:$E,"&lt;=9/30/2025",'Dogs - 2025'!$J:$J,"Transferred")</f>
        <v>0</v>
      </c>
      <c r="F27" s="10">
        <f t="shared" si="5"/>
        <v>0</v>
      </c>
      <c r="H27" t="s">
        <v>346</v>
      </c>
      <c r="I27">
        <f>COUNTIFS('Dogs - 2025'!$D:$D,"0-6 months",'Dogs - 2025'!$E:$E,"&gt;=09/01/2025",'Dogs - 2025'!$E:$E,"&lt;=9/30/2025",'Dogs - 2025'!$J:$J,"Adopted")</f>
        <v>0</v>
      </c>
      <c r="J27">
        <f>COUNTIFS('Dogs - 2025'!$D:$D,"6-12 months",'Dogs - 2025'!$E:$E,"&gt;=09/01/2025",'Dogs - 2025'!$E:$E,"&lt;=9/30/2025",'Dogs - 2025'!$J:$J,"Adopted")</f>
        <v>0</v>
      </c>
      <c r="K27">
        <f>COUNTIFS('Dogs - 2025'!$D:$D,"Adult",'Dogs - 2025'!$E:$E,"&gt;=09/01/2025",'Dogs - 2025'!$E:$E,"&lt;=9/30/2025",'Dogs - 2025'!$J:$J,"Adopted")</f>
        <v>0</v>
      </c>
      <c r="L27">
        <f>COUNTIFS('Dogs - 2025'!$D:$D,"Senior",'Dogs - 2025'!$E:$E,"&gt;=09/01/2025",'Dogs - 2025'!$E:$E,"&lt;=9/30/2025",'Dogs - 2025'!$J:$J,"Adopted")</f>
        <v>0</v>
      </c>
      <c r="M27" s="10">
        <f t="shared" si="6"/>
        <v>0</v>
      </c>
    </row>
    <row r="28" spans="1:13" x14ac:dyDescent="0.25">
      <c r="A28" t="s">
        <v>347</v>
      </c>
      <c r="B28">
        <f>COUNTIFS('Dogs - 2025'!$D:$D,"0-6 months",'Dogs - 2025'!$E:$E,"&gt;=10/01/2025",'Dogs - 2025'!$E:$E,"&lt;=10/31/2025",'Dogs - 2025'!$J:$J,"Transferred")</f>
        <v>0</v>
      </c>
      <c r="C28">
        <f>COUNTIFS('Dogs - 2025'!$D:$D,"6-12 months",'Dogs - 2025'!$E:$E,"&gt;=10/01/2025",'Dogs - 2025'!$E:$E,"&lt;=10/31/2025",'Dogs - 2025'!$J:$J,"Transferred")</f>
        <v>0</v>
      </c>
      <c r="D28">
        <f>COUNTIFS('Dogs - 2025'!$D:$D,"Adult",'Dogs - 2025'!$E:$E,"&gt;=10/01/2025",'Dogs - 2025'!$E:$E,"&lt;=10/31/2025",'Dogs - 2025'!$J:$J,"Transferred")</f>
        <v>0</v>
      </c>
      <c r="E28">
        <f>COUNTIFS('Dogs - 2025'!$D:$D,"Senior",'Dogs - 2025'!$E:$E,"&gt;=10/01/2025",'Dogs - 2025'!$E:$E,"&lt;=10/31/2025",'Dogs - 2025'!$J:$J,"Transferred")</f>
        <v>0</v>
      </c>
      <c r="F28" s="10">
        <f t="shared" si="5"/>
        <v>0</v>
      </c>
      <c r="H28" t="s">
        <v>347</v>
      </c>
      <c r="I28">
        <f>COUNTIFS('Dogs - 2025'!$D:$D,"0-6 months",'Dogs - 2025'!$E:$E,"&gt;=10/01/2025",'Dogs - 2025'!$E:$E,"&lt;=10/31/2025",'Dogs - 2025'!$J:$J,"Adopted")</f>
        <v>0</v>
      </c>
      <c r="J28">
        <f>COUNTIFS('Dogs - 2025'!$D:$D,"6-12 months",'Dogs - 2025'!$E:$E,"&gt;=10/01/2025",'Dogs - 2025'!$E:$E,"&lt;=10/31/2025",'Dogs - 2025'!$J:$J,"Adopted")</f>
        <v>0</v>
      </c>
      <c r="K28">
        <f>COUNTIFS('Dogs - 2025'!$D:$D,"Adult",'Dogs - 2025'!$E:$E,"&gt;=10/01/2025",'Dogs - 2025'!$E:$E,"&lt;=10/31/2025",'Dogs - 2025'!$J:$J,"Adopted")</f>
        <v>0</v>
      </c>
      <c r="L28">
        <f>COUNTIFS('Dogs - 2025'!$D:$D,"Senior",'Dogs - 2025'!$E:$E,"&gt;=10/01/2025",'Dogs - 2025'!$E:$E,"&lt;=10/31/2025",'Dogs - 2025'!$J:$J,"Adopted")</f>
        <v>0</v>
      </c>
      <c r="M28" s="10">
        <f t="shared" si="6"/>
        <v>0</v>
      </c>
    </row>
    <row r="29" spans="1:13" x14ac:dyDescent="0.25">
      <c r="A29" t="s">
        <v>348</v>
      </c>
      <c r="B29">
        <f>COUNTIFS('Dogs - 2025'!$D:$D,"0-6 months",'Dogs - 2025'!$E:$E,"&gt;=11/01/2025",'Dogs - 2025'!$E:$E,"&lt;=11/30/2025",'Dogs - 2025'!$J:$J,"Transferred")</f>
        <v>0</v>
      </c>
      <c r="C29">
        <f>COUNTIFS('Dogs - 2025'!$D:$D,"6-12 months",'Dogs - 2025'!$E:$E,"&gt;=11/01/2025",'Dogs - 2025'!$E:$E,"&lt;=11/30/2025",'Dogs - 2025'!$J:$J,"Transferred")</f>
        <v>0</v>
      </c>
      <c r="D29">
        <f>COUNTIFS('Dogs - 2025'!$D:$D,"Adult",'Dogs - 2025'!$E:$E,"&gt;=11/01/2025",'Dogs - 2025'!$E:$E,"&lt;=11/30/2025",'Dogs - 2025'!$J:$J,"Transferred")</f>
        <v>0</v>
      </c>
      <c r="E29">
        <f>COUNTIFS('Dogs - 2025'!$D:$D,"Senior",'Dogs - 2025'!$E:$E,"&gt;=11/01/2025",'Dogs - 2025'!$E:$E,"&lt;=11/30/2025",'Dogs - 2025'!$J:$J,"Transferred")</f>
        <v>0</v>
      </c>
      <c r="F29" s="10">
        <f t="shared" si="5"/>
        <v>0</v>
      </c>
      <c r="H29" t="s">
        <v>348</v>
      </c>
      <c r="I29">
        <f>COUNTIFS('Dogs - 2025'!$D:$D,"0-6 months",'Dogs - 2025'!$E:$E,"&gt;=11/01/2025",'Dogs - 2025'!$E:$E,"&lt;=11/30/2025",'Dogs - 2025'!$J:$J,"Adopted")</f>
        <v>0</v>
      </c>
      <c r="J29">
        <f>COUNTIFS('Dogs - 2025'!$D:$D,"6-12 months",'Dogs - 2025'!$E:$E,"&gt;=11/01/2025",'Dogs - 2025'!$E:$E,"&lt;=11/30/2025",'Dogs - 2025'!$J:$J,"Adopted")</f>
        <v>0</v>
      </c>
      <c r="K29">
        <f>COUNTIFS('Dogs - 2025'!$D:$D,"Adult",'Dogs - 2025'!$E:$E,"&gt;=11/01/2025",'Dogs - 2025'!$E:$E,"&lt;=11/30/2025",'Dogs - 2025'!$J:$J,"Adopted")</f>
        <v>0</v>
      </c>
      <c r="L29">
        <f>COUNTIFS('Dogs - 2025'!$D:$D,"Senior",'Dogs - 2025'!$E:$E,"&gt;=11/01/2025",'Dogs - 2025'!$E:$E,"&lt;=11/30/2025",'Dogs - 2025'!$J:$J,"Adopted")</f>
        <v>0</v>
      </c>
      <c r="M29" s="10">
        <f t="shared" si="6"/>
        <v>0</v>
      </c>
    </row>
    <row r="30" spans="1:13" x14ac:dyDescent="0.25">
      <c r="A30" t="s">
        <v>349</v>
      </c>
      <c r="B30">
        <f>COUNTIFS('Dogs - 2025'!$D:$D,"0-6 months",'Dogs - 2025'!$E:$E,"&gt;=12/01/2025",'Dogs - 2025'!$E:$E,"&lt;=12/31/2025",'Dogs - 2025'!$J:$J,"Transferred")</f>
        <v>0</v>
      </c>
      <c r="C30">
        <f>COUNTIFS('Dogs - 2025'!$D:$D,"6-12 months",'Dogs - 2025'!$E:$E,"&gt;=12/01/2025",'Dogs - 2025'!$E:$E,"&lt;=12/31/2025",'Dogs - 2025'!$J:$J,"Transferred")</f>
        <v>0</v>
      </c>
      <c r="D30">
        <f>COUNTIFS('Dogs - 2025'!$D:$D,"Adult",'Dogs - 2025'!$E:$E,"&gt;=12/01/2025",'Dogs - 2025'!$E:$E,"&lt;=12/31/2025",'Dogs - 2025'!$J:$J,"Transferred")</f>
        <v>0</v>
      </c>
      <c r="E30">
        <f>COUNTIFS('Dogs - 2025'!$D:$D,"Senior",'Dogs - 2025'!$E:$E,"&gt;=12/01/2025",'Dogs - 2025'!$E:$E,"&lt;=12/31/2025",'Dogs - 2025'!$J:$J,"Transferred")</f>
        <v>0</v>
      </c>
      <c r="F30" s="10">
        <f t="shared" si="5"/>
        <v>0</v>
      </c>
      <c r="H30" t="s">
        <v>349</v>
      </c>
      <c r="I30">
        <f>COUNTIFS('Dogs - 2025'!$D:$D,"0-6 months",'Dogs - 2025'!$E:$E,"&gt;=12/01/2025",'Dogs - 2025'!$E:$E,"&lt;=12/31/2025",'Dogs - 2025'!$J:$J,"Adopted")</f>
        <v>0</v>
      </c>
      <c r="J30">
        <f>COUNTIFS('Dogs - 2025'!$D:$D,"6-12 months",'Dogs - 2025'!$E:$E,"&gt;=12/01/2025",'Dogs - 2025'!$E:$E,"&lt;=12/31/2025",'Dogs - 2025'!$J:$J,"Adopted")</f>
        <v>0</v>
      </c>
      <c r="K30">
        <f>COUNTIFS('Dogs - 2025'!$D:$D,"Adult",'Dogs - 2025'!$E:$E,"&gt;=12/01/2025",'Dogs - 2025'!$E:$E,"&lt;=12/31/2025",'Dogs - 2025'!$J:$J,"Adopted")</f>
        <v>0</v>
      </c>
      <c r="L30">
        <f>COUNTIFS('Dogs - 2025'!$D:$D,"Senior",'Dogs - 2025'!$E:$E,"&gt;=12/01/2025",'Dogs - 2025'!$E:$E,"&lt;=12/31/2025",'Dogs - 2025'!$J:$J,"Adopted")</f>
        <v>0</v>
      </c>
      <c r="M30" s="10">
        <f t="shared" si="6"/>
        <v>0</v>
      </c>
    </row>
    <row r="31" spans="1:13" x14ac:dyDescent="0.25">
      <c r="A31" s="13"/>
      <c r="B31" s="13">
        <f>SUM(B19:B30)</f>
        <v>28</v>
      </c>
      <c r="C31" s="13">
        <f t="shared" ref="C31:F31" si="7">SUM(C19:C30)</f>
        <v>8</v>
      </c>
      <c r="D31" s="13">
        <f t="shared" si="7"/>
        <v>46</v>
      </c>
      <c r="E31" s="13">
        <f t="shared" si="7"/>
        <v>0</v>
      </c>
      <c r="F31" s="13">
        <f t="shared" si="7"/>
        <v>82</v>
      </c>
      <c r="H31" s="13"/>
      <c r="I31" s="13">
        <f>SUM(I19:I30)</f>
        <v>54</v>
      </c>
      <c r="J31" s="13">
        <f t="shared" ref="J31:M31" si="8">SUM(J19:J30)</f>
        <v>13</v>
      </c>
      <c r="K31" s="13">
        <f t="shared" si="8"/>
        <v>43</v>
      </c>
      <c r="L31" s="13">
        <f t="shared" si="8"/>
        <v>0</v>
      </c>
      <c r="M31" s="13">
        <f t="shared" si="8"/>
        <v>110</v>
      </c>
    </row>
    <row r="33" spans="1:13" ht="24" x14ac:dyDescent="0.25">
      <c r="A33" s="35" t="s">
        <v>585</v>
      </c>
      <c r="B33" s="35"/>
      <c r="C33" s="35"/>
      <c r="D33" s="35"/>
      <c r="E33" s="35"/>
      <c r="F33" s="17">
        <f>F47/$F$15</f>
        <v>9.7205346294046164E-3</v>
      </c>
      <c r="H33" s="35" t="s">
        <v>21</v>
      </c>
      <c r="I33" s="35"/>
      <c r="J33" s="35"/>
      <c r="K33" s="35"/>
      <c r="L33" s="35"/>
      <c r="M33" s="17">
        <f>M47/$F$15</f>
        <v>1.9441069258809233E-2</v>
      </c>
    </row>
    <row r="34" spans="1:13" x14ac:dyDescent="0.25">
      <c r="A34" s="9"/>
      <c r="B34" s="14" t="s">
        <v>209</v>
      </c>
      <c r="C34" s="14" t="s">
        <v>210</v>
      </c>
      <c r="D34" s="14" t="s">
        <v>208</v>
      </c>
      <c r="E34" s="14" t="s">
        <v>211</v>
      </c>
      <c r="F34" s="15" t="s">
        <v>202</v>
      </c>
      <c r="H34" s="9"/>
      <c r="I34" s="14" t="s">
        <v>209</v>
      </c>
      <c r="J34" s="14" t="s">
        <v>210</v>
      </c>
      <c r="K34" s="14" t="s">
        <v>208</v>
      </c>
      <c r="L34" s="14" t="s">
        <v>211</v>
      </c>
      <c r="M34" s="15" t="s">
        <v>202</v>
      </c>
    </row>
    <row r="35" spans="1:13" x14ac:dyDescent="0.25">
      <c r="A35" t="s">
        <v>338</v>
      </c>
      <c r="B35">
        <f>COUNTIFS('Dogs - 2025'!$D:$D,"0-6 months",'Dogs - 2025'!$E:$E,"&gt;=01/01/2025",'Dogs - 2025'!$E:$E,"&lt;=1/31/2025",'Dogs - 2025'!$J:$J,"DOA")</f>
        <v>1</v>
      </c>
      <c r="C35">
        <f>COUNTIFS('Dogs - 2025'!$D:$D,"6-12 months",'Dogs - 2025'!$E:$E,"&gt;=01/01/2025",'Dogs - 2025'!$E:$E,"&lt;=1/31/2025",'Dogs - 2025'!$J:$J,"DOA")</f>
        <v>0</v>
      </c>
      <c r="D35">
        <f>COUNTIFS('Dogs - 2025'!$D:$D,"Adult",'Dogs - 2025'!$E:$E,"&gt;=01/01/2025",'Dogs - 2025'!$E:$E,"&lt;=1/31/2025",'Dogs - 2025'!$J:$J,"DOA")</f>
        <v>2</v>
      </c>
      <c r="E35">
        <f>COUNTIFS('Dogs - 2025'!$D:$D,"Senior",'Dogs - 2025'!$E:$E,"&gt;=01/01/2025",'Dogs - 2025'!$E:$E,"&lt;=1/31/2025",'Dogs - 2025'!$J:$J,"DOA")</f>
        <v>0</v>
      </c>
      <c r="F35" s="10">
        <f>SUM(B35:E35)</f>
        <v>3</v>
      </c>
      <c r="H35" t="s">
        <v>338</v>
      </c>
      <c r="I35">
        <f>COUNTIFS('Dogs - 2025'!$D:$D,"0-6 months",'Dogs - 2025'!$E:$E,"&gt;=01/01/2025",'Dogs - 2025'!$E:$E,"&lt;=1/31/2025",'Dogs - 2025'!$J:$J,"Shelter")</f>
        <v>0</v>
      </c>
      <c r="J35">
        <f>COUNTIFS('Dogs - 2025'!$D:$D,"6-12 months",'Dogs - 2025'!$E:$E,"&gt;=01/01/2025",'Dogs - 2025'!$E:$E,"&lt;=1/31/2025",'Dogs - 2025'!$J:$J,"Shelter")</f>
        <v>0</v>
      </c>
      <c r="K35">
        <f>COUNTIFS('Dogs - 2025'!$D:$D,"Adult",'Dogs - 2025'!$E:$E,"&gt;=01/01/2025",'Dogs - 2025'!$E:$E,"&lt;=1/31/2025",'Dogs - 2025'!$J:$J,"Shelter")</f>
        <v>0</v>
      </c>
      <c r="L35">
        <f>COUNTIFS('Dogs - 2025'!$D:$D,"Senior",'Dogs - 2025'!$E:$E,"&gt;=01/01/2025",'Dogs - 2025'!$E:$E,"&lt;=1/31/2025",'Dogs - 2025'!$J:$J,"Shelter")</f>
        <v>0</v>
      </c>
      <c r="M35" s="10">
        <f>SUM(I35:L35)</f>
        <v>0</v>
      </c>
    </row>
    <row r="36" spans="1:13" x14ac:dyDescent="0.25">
      <c r="A36" t="s">
        <v>339</v>
      </c>
      <c r="B36">
        <f>COUNTIFS('Dogs - 2025'!$D:$D,"0-6 months",'Dogs - 2025'!$E:$E,"&gt;=02/01/2025",'Dogs - 2025'!$E:$E,"&lt;=2/28/2025",'Dogs - 2025'!$J:$J,"DOA")</f>
        <v>0</v>
      </c>
      <c r="C36">
        <f>COUNTIFS('Dogs - 2025'!$D:$D,"6-12 months",'Dogs - 2025'!$E:$E,"&gt;=02/01/2025",'Dogs - 2025'!$E:$E,"&lt;=2/28/2025",'Dogs - 2025'!$J:$J,"DOA")</f>
        <v>0</v>
      </c>
      <c r="D36">
        <f>COUNTIFS('Dogs - 2025'!$D:$D,"Adult",'Dogs - 2025'!$E:$E,"&gt;=02/01/2025",'Dogs - 2025'!$E:$E,"&lt;=2/28/2025",'Dogs - 2025'!$J:$J,"DOA")</f>
        <v>0</v>
      </c>
      <c r="E36">
        <f>COUNTIFS('Dogs - 2025'!$D:$D,"Senior",'Dogs - 2025'!$E:$E,"&gt;=02/01/2025",'Dogs - 2025'!$E:$E,"&lt;=2/28/2025",'Dogs - 2025'!$J:$J,"DOA")</f>
        <v>0</v>
      </c>
      <c r="F36" s="10">
        <f t="shared" ref="F36:F46" si="9">SUM(B36:E36)</f>
        <v>0</v>
      </c>
      <c r="H36" t="s">
        <v>339</v>
      </c>
      <c r="I36">
        <f>COUNTIFS('Dogs - 2025'!$D:$D,"0-6 months",'Dogs - 2025'!$E:$E,"&gt;=02/01/2025",'Dogs - 2025'!$E:$E,"&lt;=2/28/2025",'Dogs - 2025'!$J:$J,"Shelter")</f>
        <v>0</v>
      </c>
      <c r="J36">
        <f>COUNTIFS('Dogs - 2025'!$D:$D,"6-12 months",'Dogs - 2025'!$E:$E,"&gt;=02/01/2025",'Dogs - 2025'!$E:$E,"&lt;=2/28/2025",'Dogs - 2025'!$J:$J,"Shelter")</f>
        <v>0</v>
      </c>
      <c r="K36">
        <f>COUNTIFS('Dogs - 2025'!$D:$D,"Adult",'Dogs - 2025'!$E:$E,"&gt;=02/01/2025",'Dogs - 2025'!$E:$E,"&lt;=2/28/2025",'Dogs - 2025'!$J:$J,"Shelter")</f>
        <v>0</v>
      </c>
      <c r="L36">
        <f>COUNTIFS('Dogs - 2025'!$D:$D,"Senior",'Dogs - 2025'!$E:$E,"&gt;=02/01/2025",'Dogs - 2025'!$E:$E,"&lt;=2/28/2025",'Dogs - 2025'!$J:$J,"Shelter")</f>
        <v>0</v>
      </c>
      <c r="M36" s="10">
        <f t="shared" ref="M36:M46" si="10">SUM(I36:L36)</f>
        <v>0</v>
      </c>
    </row>
    <row r="37" spans="1:13" x14ac:dyDescent="0.25">
      <c r="A37" t="s">
        <v>340</v>
      </c>
      <c r="B37">
        <f>COUNTIFS('Dogs - 2025'!$D:$D,"0-6 months",'Dogs - 2025'!$E:$E,"&gt;=03/01/2025",'Dogs - 2025'!$E:$E,"&lt;=3/31/2025",'Dogs - 2025'!$J:$J,"DOA")</f>
        <v>0</v>
      </c>
      <c r="C37">
        <f>COUNTIFS('Dogs - 2025'!$D:$D,"6-12 months",'Dogs - 2025'!$E:$E,"&gt;=03/01/2025",'Dogs - 2025'!$E:$E,"&lt;=3/31/2025",'Dogs - 2025'!$J:$J,"DOA")</f>
        <v>0</v>
      </c>
      <c r="D37">
        <f>COUNTIFS('Dogs - 2025'!$D:$D,"Adult",'Dogs - 2025'!$E:$E,"&gt;=03/01/2025",'Dogs - 2025'!$E:$E,"&lt;=3/31/2025",'Dogs - 2025'!$J:$J,"DOA")</f>
        <v>0</v>
      </c>
      <c r="E37">
        <f>COUNTIFS('Dogs - 2025'!$D:$D,"Senior",'Dogs - 2025'!$E:$E,"&gt;=03/01/2025",'Dogs - 2025'!$E:$E,"&lt;=3/31/2025",'Dogs - 2025'!$J:$J,"DOA")</f>
        <v>0</v>
      </c>
      <c r="F37" s="10">
        <f t="shared" si="9"/>
        <v>0</v>
      </c>
      <c r="H37" t="s">
        <v>340</v>
      </c>
      <c r="I37">
        <f>COUNTIFS('Dogs - 2025'!$D:$D,"0-6 months",'Dogs - 2025'!$E:$E,"&gt;=03/01/2025",'Dogs - 2025'!$E:$E,"&lt;=3/31/2025",'Dogs - 2025'!$J:$J,"Shelter")</f>
        <v>0</v>
      </c>
      <c r="J37">
        <f>COUNTIFS('Dogs - 2025'!$D:$D,"6-12 months",'Dogs - 2025'!$E:$E,"&gt;=03/01/2025",'Dogs - 2025'!$E:$E,"&lt;=3/31/2025",'Dogs - 2025'!$J:$J,"Shelter")</f>
        <v>0</v>
      </c>
      <c r="K37">
        <f>COUNTIFS('Dogs - 2025'!$D:$D,"Adult",'Dogs - 2025'!$E:$E,"&gt;=03/01/2025",'Dogs - 2025'!$E:$E,"&lt;=3/31/2025",'Dogs - 2025'!$J:$J,"Shelter")</f>
        <v>1</v>
      </c>
      <c r="L37">
        <f>COUNTIFS('Dogs - 2025'!$D:$D,"Senior",'Dogs - 2025'!$E:$E,"&gt;=03/01/2025",'Dogs - 2025'!$E:$E,"&lt;=3/31/2025",'Dogs - 2025'!$J:$J,"Shelter")</f>
        <v>1</v>
      </c>
      <c r="M37" s="10">
        <f t="shared" si="10"/>
        <v>2</v>
      </c>
    </row>
    <row r="38" spans="1:13" x14ac:dyDescent="0.25">
      <c r="A38" t="s">
        <v>341</v>
      </c>
      <c r="B38">
        <f>COUNTIFS('Dogs - 2025'!$D:$D,"0-6 months",'Dogs - 2025'!$E:$E,"&gt;=04/01/2025",'Dogs - 2025'!$E:$E,"&lt;=4/30/2025",'Dogs - 2025'!$J:$J,"DOA")</f>
        <v>1</v>
      </c>
      <c r="C38">
        <f>COUNTIFS('Dogs - 2025'!$D:$D,"6-12 months",'Dogs - 2025'!$E:$E,"&gt;=04/01/2025",'Dogs - 2025'!$E:$E,"&lt;=4/30/2025",'Dogs - 2025'!$J:$J,"DOA")</f>
        <v>0</v>
      </c>
      <c r="D38">
        <f>COUNTIFS('Dogs - 2025'!$D:$D,"Adult",'Dogs - 2025'!$E:$E,"&gt;=04/01/2025",'Dogs - 2025'!$E:$E,"&lt;=4/30/2025",'Dogs - 2025'!$J:$J,"DOA")</f>
        <v>0</v>
      </c>
      <c r="E38">
        <f>COUNTIFS('Dogs - 2025'!$D:$D,"Senior",'Dogs - 2025'!$E:$E,"&gt;=04/01/2025",'Dogs - 2025'!$E:$E,"&lt;=4/30/2025",'Dogs - 2025'!$J:$J,"DOA")</f>
        <v>0</v>
      </c>
      <c r="F38" s="10">
        <f t="shared" si="9"/>
        <v>1</v>
      </c>
      <c r="H38" t="s">
        <v>341</v>
      </c>
      <c r="I38">
        <f>COUNTIFS('Dogs - 2025'!$D:$D,"0-6 months",'Dogs - 2025'!$E:$E,"&gt;=04/01/2025",'Dogs - 2025'!$E:$E,"&lt;=4/30/2025",'Dogs - 2025'!$J:$J,"Shelter")</f>
        <v>1</v>
      </c>
      <c r="J38">
        <f>COUNTIFS('Dogs - 2025'!$D:$D,"6-12 months",'Dogs - 2025'!$E:$E,"&gt;=04/01/2025",'Dogs - 2025'!$E:$E,"&lt;=4/30/2025",'Dogs - 2025'!$J:$J,"Shelter")</f>
        <v>0</v>
      </c>
      <c r="K38">
        <f>COUNTIFS('Dogs - 2025'!$D:$D,"Adult",'Dogs - 2025'!$E:$E,"&gt;=04/01/2025",'Dogs - 2025'!$E:$E,"&lt;=4/30/2025",'Dogs - 2025'!$J:$J,"Shelter")</f>
        <v>2</v>
      </c>
      <c r="L38">
        <f>COUNTIFS('Dogs - 2025'!$D:$D,"Senior",'Dogs - 2025'!$E:$E,"&gt;=04/01/2025",'Dogs - 2025'!$E:$E,"&lt;=4/30/2025",'Dogs - 2025'!$J:$J,"Shelter")</f>
        <v>0</v>
      </c>
      <c r="M38" s="10">
        <f t="shared" si="10"/>
        <v>3</v>
      </c>
    </row>
    <row r="39" spans="1:13" x14ac:dyDescent="0.25">
      <c r="A39" t="s">
        <v>342</v>
      </c>
      <c r="B39">
        <f>COUNTIFS('Dogs - 2025'!$D:$D,"0-6 months",'Dogs - 2025'!$E:$E,"&gt;=05/01/2025",'Dogs - 2025'!$E:$E,"&lt;=5/31/2025",'Dogs - 2025'!$J:$J,"DOA")</f>
        <v>3</v>
      </c>
      <c r="C39">
        <f>COUNTIFS('Dogs - 2025'!$D:$D,"6-12 months",'Dogs - 2025'!$E:$E,"&gt;=05/01/2025",'Dogs - 2025'!$E:$E,"&lt;=5/31/2025",'Dogs - 2025'!$J:$J,"DOA")</f>
        <v>0</v>
      </c>
      <c r="D39">
        <f>COUNTIFS('Dogs - 2025'!$D:$D,"Adult",'Dogs - 2025'!$E:$E,"&gt;=05/01/2025",'Dogs - 2025'!$E:$E,"&lt;=5/31/2025",'Dogs - 2025'!$J:$J,"DOA")</f>
        <v>0</v>
      </c>
      <c r="E39">
        <f>COUNTIFS('Dogs - 2025'!$D:$D,"Senior",'Dogs - 2025'!$E:$E,"&gt;=05/01/2025",'Dogs - 2025'!$E:$E,"&lt;=5/31/2025",'Dogs - 2025'!$J:$J,"DOA")</f>
        <v>0</v>
      </c>
      <c r="F39" s="10">
        <f t="shared" si="9"/>
        <v>3</v>
      </c>
      <c r="H39" t="s">
        <v>342</v>
      </c>
      <c r="I39">
        <f>COUNTIFS('Dogs - 2025'!$D:$D,"0-6 months",'Dogs - 2025'!$E:$E,"&gt;=05/01/2025",'Dogs - 2025'!$E:$E,"&lt;=5/31/2025",'Dogs - 2025'!$J:$J,"Shelter")</f>
        <v>0</v>
      </c>
      <c r="J39">
        <f>COUNTIFS('Dogs - 2025'!$D:$D,"6-12 months",'Dogs - 2025'!$E:$E,"&gt;=05/01/2025",'Dogs - 2025'!$E:$E,"&lt;=5/31/2025",'Dogs - 2025'!$J:$J,"Shelter")</f>
        <v>0</v>
      </c>
      <c r="K39">
        <f>COUNTIFS('Dogs - 2025'!$D:$D,"Adult",'Dogs - 2025'!$E:$E,"&gt;=05/01/2025",'Dogs - 2025'!$E:$E,"&lt;=5/31/2025",'Dogs - 2025'!$J:$J,"Shelter")</f>
        <v>0</v>
      </c>
      <c r="L39">
        <f>COUNTIFS('Dogs - 2025'!$D:$D,"Senior",'Dogs - 2025'!$E:$E,"&gt;=05/01/2025",'Dogs - 2025'!$E:$E,"&lt;=5/31/2025",'Dogs - 2025'!$J:$J,"Shelter")</f>
        <v>0</v>
      </c>
      <c r="M39" s="10">
        <f t="shared" si="10"/>
        <v>0</v>
      </c>
    </row>
    <row r="40" spans="1:13" x14ac:dyDescent="0.25">
      <c r="A40" t="s">
        <v>343</v>
      </c>
      <c r="B40">
        <f>COUNTIFS('Dogs - 2025'!$D:$D,"0-6 months",'Dogs - 2025'!$E:$E,"&gt;=06/01/2025",'Dogs - 2025'!$E:$E,"&lt;=6/30/2025",'Dogs - 2025'!$J:$J,"DOA")</f>
        <v>0</v>
      </c>
      <c r="C40">
        <f>COUNTIFS('Dogs - 2025'!$D:$D,"6-12 months",'Dogs - 2025'!$E:$E,"&gt;=06/01/2025",'Dogs - 2025'!$E:$E,"&lt;=6/30/2025",'Dogs - 2025'!$J:$J,"DOA")</f>
        <v>0</v>
      </c>
      <c r="D40">
        <f>COUNTIFS('Dogs - 2025'!$D:$D,"Adult",'Dogs - 2025'!$E:$E,"&gt;=06/01/2025",'Dogs - 2025'!$E:$E,"&lt;=6/30/2025",'Dogs - 2025'!$J:$J,"DOA")</f>
        <v>0</v>
      </c>
      <c r="E40">
        <f>COUNTIFS('Dogs - 2025'!$D:$D,"Senior",'Dogs - 2025'!$E:$E,"&gt;=06/01/2025",'Dogs - 2025'!$E:$E,"&lt;=6/30/2025",'Dogs - 2025'!$J:$J,"DOA")</f>
        <v>0</v>
      </c>
      <c r="F40" s="10">
        <f t="shared" si="9"/>
        <v>0</v>
      </c>
      <c r="H40" t="s">
        <v>343</v>
      </c>
      <c r="I40">
        <f>COUNTIFS('Dogs - 2025'!$D:$D,"0-6 months",'Dogs - 2025'!$E:$E,"&gt;=06/01/2025",'Dogs - 2025'!$E:$E,"&lt;=6/30/2025",'Dogs - 2025'!$J:$J,"Shelter")</f>
        <v>2</v>
      </c>
      <c r="J40">
        <f>COUNTIFS('Dogs - 2025'!$D:$D,"6-12 months",'Dogs - 2025'!$E:$E,"&gt;=06/01/2025",'Dogs - 2025'!$E:$E,"&lt;=6/30/2025",'Dogs - 2025'!$J:$J,"Shelter")</f>
        <v>0</v>
      </c>
      <c r="K40">
        <f>COUNTIFS('Dogs - 2025'!$D:$D,"Adult",'Dogs - 2025'!$E:$E,"&gt;=06/01/2025",'Dogs - 2025'!$E:$E,"&lt;=6/30/2025",'Dogs - 2025'!$J:$J,"Shelter")</f>
        <v>1</v>
      </c>
      <c r="L40">
        <f>COUNTIFS('Dogs - 2025'!$D:$D,"Senior",'Dogs - 2025'!$E:$E,"&gt;=06/01/2025",'Dogs - 2025'!$E:$E,"&lt;=6/30/2025",'Dogs - 2025'!$J:$J,"Shelter")</f>
        <v>0</v>
      </c>
      <c r="M40" s="10">
        <f t="shared" si="10"/>
        <v>3</v>
      </c>
    </row>
    <row r="41" spans="1:13" x14ac:dyDescent="0.25">
      <c r="A41" t="s">
        <v>344</v>
      </c>
      <c r="B41">
        <f>COUNTIFS('Dogs - 2025'!$D:$D,"0-6 months",'Dogs - 2025'!$E:$E,"&gt;=07/01/2025",'Dogs - 2025'!$E:$E,"&lt;=7/31/2025",'Dogs - 2025'!$J:$J,"DOA")</f>
        <v>1</v>
      </c>
      <c r="C41">
        <f>COUNTIFS('Dogs - 2025'!$D:$D,"6-12 months",'Dogs - 2025'!$E:$E,"&gt;=07/01/2025",'Dogs - 2025'!$E:$E,"&lt;=7/31/2025",'Dogs - 2025'!$J:$J,"DOA")</f>
        <v>0</v>
      </c>
      <c r="D41">
        <f>COUNTIFS('Dogs - 2025'!$D:$D,"Adult",'Dogs - 2025'!$E:$E,"&gt;=07/01/2025",'Dogs - 2025'!$E:$E,"&lt;=7/31/2025",'Dogs - 2025'!$J:$J,"DOA")</f>
        <v>0</v>
      </c>
      <c r="E41">
        <f>COUNTIFS('Dogs - 2025'!$D:$D,"Senior",'Dogs - 2025'!$E:$E,"&gt;=07/01/2025",'Dogs - 2025'!$E:$E,"&lt;=7/31/2025",'Dogs - 2025'!$J:$J,"DOA")</f>
        <v>0</v>
      </c>
      <c r="F41" s="10">
        <f t="shared" si="9"/>
        <v>1</v>
      </c>
      <c r="H41" t="s">
        <v>344</v>
      </c>
      <c r="I41">
        <f>COUNTIFS('Dogs - 2025'!$D:$D,"0-6 months",'Dogs - 2025'!$E:$E,"&gt;=07/01/2025",'Dogs - 2025'!$E:$E,"&lt;=7/31/2025",'Dogs - 2025'!$J:$J,"Shelter")</f>
        <v>5</v>
      </c>
      <c r="J41">
        <f>COUNTIFS('Dogs - 2025'!$D:$D,"6-12 months",'Dogs - 2025'!$E:$E,"&gt;=07/01/2025",'Dogs - 2025'!$E:$E,"&lt;=7/31/2025",'Dogs - 2025'!$J:$J,"Shelter")</f>
        <v>0</v>
      </c>
      <c r="K41">
        <f>COUNTIFS('Dogs - 2025'!$D:$D,"Adult",'Dogs - 2025'!$E:$E,"&gt;=07/01/2025",'Dogs - 2025'!$E:$E,"&lt;=7/31/2025",'Dogs - 2025'!$J:$J,"Shelter")</f>
        <v>3</v>
      </c>
      <c r="L41">
        <f>COUNTIFS('Dogs - 2025'!$D:$D,"Senior",'Dogs - 2025'!$E:$E,"&gt;=07/01/2025",'Dogs - 2025'!$E:$E,"&lt;=7/31/2025",'Dogs - 2025'!$J:$J,"Shelter")</f>
        <v>0</v>
      </c>
      <c r="M41" s="10">
        <f t="shared" si="10"/>
        <v>8</v>
      </c>
    </row>
    <row r="42" spans="1:13" x14ac:dyDescent="0.25">
      <c r="A42" t="s">
        <v>345</v>
      </c>
      <c r="B42">
        <f>COUNTIFS('Dogs - 2025'!$D:$D,"0-6 months",'Dogs - 2025'!$E:$E,"&gt;=08/01/2025",'Dogs - 2025'!$E:$E,"&lt;=8/31/2025",'Dogs - 2025'!$J:$J,"DOA")</f>
        <v>0</v>
      </c>
      <c r="C42">
        <f>COUNTIFS('Dogs - 2025'!$D:$D,"6-12 months",'Dogs - 2025'!$E:$E,"&gt;=08/01/2025",'Dogs - 2025'!$E:$E,"&lt;=8/31/2025",'Dogs - 2025'!$J:$J,"DOA")</f>
        <v>0</v>
      </c>
      <c r="D42">
        <f>COUNTIFS('Dogs - 2025'!$D:$D,"Adult",'Dogs - 2025'!$E:$E,"&gt;=08/01/2025",'Dogs - 2025'!$E:$E,"&lt;=8/31/2025",'Dogs - 2025'!$J:$J,"DOA")</f>
        <v>0</v>
      </c>
      <c r="E42">
        <f>COUNTIFS('Dogs - 2025'!$D:$D,"Senior",'Dogs - 2025'!$E:$E,"&gt;=08/01/2025",'Dogs - 2025'!$E:$E,"&lt;=8/31/2025",'Dogs - 2025'!$J:$J,"DOA")</f>
        <v>0</v>
      </c>
      <c r="F42" s="10">
        <f t="shared" si="9"/>
        <v>0</v>
      </c>
      <c r="H42" t="s">
        <v>345</v>
      </c>
      <c r="I42">
        <f>COUNTIFS('Dogs - 2025'!$D:$D,"0-6 months",'Dogs - 2025'!$E:$E,"&gt;=08/01/2025",'Dogs - 2025'!$E:$E,"&lt;=8/31/2025",'Dogs - 2025'!$J:$J,"Shelter")</f>
        <v>0</v>
      </c>
      <c r="J42">
        <f>COUNTIFS('Dogs - 2025'!$D:$D,"6-12 months",'Dogs - 2025'!$E:$E,"&gt;=08/01/2025",'Dogs - 2025'!$E:$E,"&lt;=8/31/2025",'Dogs - 2025'!$J:$J,"Shelter")</f>
        <v>0</v>
      </c>
      <c r="K42">
        <f>COUNTIFS('Dogs - 2025'!$D:$D,"Adult",'Dogs - 2025'!$E:$E,"&gt;=08/01/2025",'Dogs - 2025'!$E:$E,"&lt;=8/31/2025",'Dogs - 2025'!$J:$J,"Shelter")</f>
        <v>0</v>
      </c>
      <c r="L42">
        <f>COUNTIFS('Dogs - 2025'!$D:$D,"Senior",'Dogs - 2025'!$E:$E,"&gt;=08/01/2025",'Dogs - 2025'!$E:$E,"&lt;=8/31/2025",'Dogs - 2025'!$J:$J,"Shelter")</f>
        <v>0</v>
      </c>
      <c r="M42" s="10">
        <f t="shared" si="10"/>
        <v>0</v>
      </c>
    </row>
    <row r="43" spans="1:13" x14ac:dyDescent="0.25">
      <c r="A43" t="s">
        <v>346</v>
      </c>
      <c r="B43">
        <f>COUNTIFS('Dogs - 2025'!$D:$D,"0-6 months",'Dogs - 2025'!$E:$E,"&gt;=09/01/2025",'Dogs - 2025'!$E:$E,"&lt;=9/30/2025",'Dogs - 2025'!$J:$J,"DOA")</f>
        <v>0</v>
      </c>
      <c r="C43">
        <f>COUNTIFS('Dogs - 2025'!$D:$D,"6-12 months",'Dogs - 2025'!$E:$E,"&gt;=09/01/2025",'Dogs - 2025'!$E:$E,"&lt;=9/30/2025",'Dogs - 2025'!$J:$J,"DOA")</f>
        <v>0</v>
      </c>
      <c r="D43">
        <f>COUNTIFS('Dogs - 2025'!$D:$D,"Adult",'Dogs - 2025'!$E:$E,"&gt;=09/01/2025",'Dogs - 2025'!$E:$E,"&lt;=9/30/2025",'Dogs - 2025'!$J:$J,"DOA")</f>
        <v>0</v>
      </c>
      <c r="E43">
        <f>COUNTIFS('Dogs - 2025'!$D:$D,"Senior",'Dogs - 2025'!$E:$E,"&gt;=09/01/2025",'Dogs - 2025'!$E:$E,"&lt;=9/30/2025",'Dogs - 2025'!$J:$J,"DOA")</f>
        <v>0</v>
      </c>
      <c r="F43" s="10">
        <f t="shared" si="9"/>
        <v>0</v>
      </c>
      <c r="H43" t="s">
        <v>346</v>
      </c>
      <c r="I43">
        <f>COUNTIFS('Dogs - 2025'!$D:$D,"0-6 months",'Dogs - 2025'!$E:$E,"&gt;=09/01/2025",'Dogs - 2025'!$E:$E,"&lt;=9/30/2025",'Dogs - 2025'!$J:$J,"Shelter")</f>
        <v>0</v>
      </c>
      <c r="J43">
        <f>COUNTIFS('Dogs - 2025'!$D:$D,"6-12 months",'Dogs - 2025'!$E:$E,"&gt;=09/01/2025",'Dogs - 2025'!$E:$E,"&lt;=9/30/2025",'Dogs - 2025'!$J:$J,"Shelter")</f>
        <v>0</v>
      </c>
      <c r="K43">
        <f>COUNTIFS('Dogs - 2025'!$D:$D,"Adult",'Dogs - 2025'!$E:$E,"&gt;=09/01/2025",'Dogs - 2025'!$E:$E,"&lt;=9/30/2025",'Dogs - 2025'!$J:$J,"Shelter")</f>
        <v>0</v>
      </c>
      <c r="L43">
        <f>COUNTIFS('Dogs - 2025'!$D:$D,"Senior",'Dogs - 2025'!$E:$E,"&gt;=09/01/2025",'Dogs - 2025'!$E:$E,"&lt;=9/30/2025",'Dogs - 2025'!$J:$J,"Shelter")</f>
        <v>0</v>
      </c>
      <c r="M43" s="10">
        <f t="shared" si="10"/>
        <v>0</v>
      </c>
    </row>
    <row r="44" spans="1:13" x14ac:dyDescent="0.25">
      <c r="A44" t="s">
        <v>347</v>
      </c>
      <c r="B44">
        <f>COUNTIFS('Dogs - 2025'!$D:$D,"0-6 months",'Dogs - 2025'!$E:$E,"&gt;=10/01/2025",'Dogs - 2025'!$E:$E,"&lt;=10/31/2025",'Dogs - 2025'!$J:$J,"DOA")</f>
        <v>0</v>
      </c>
      <c r="C44">
        <f>COUNTIFS('Dogs - 2025'!$D:$D,"6-12 months",'Dogs - 2025'!$E:$E,"&gt;=10/01/2025",'Dogs - 2025'!$E:$E,"&lt;=10/31/2025",'Dogs - 2025'!$J:$J,"DOA")</f>
        <v>0</v>
      </c>
      <c r="D44">
        <f>COUNTIFS('Dogs - 2025'!$D:$D,"Adult",'Dogs - 2025'!$E:$E,"&gt;=10/01/2025",'Dogs - 2025'!$E:$E,"&lt;=10/31/2025",'Dogs - 2025'!$J:$J,"DOA")</f>
        <v>0</v>
      </c>
      <c r="E44">
        <f>COUNTIFS('Dogs - 2025'!$D:$D,"Senior",'Dogs - 2025'!$E:$E,"&gt;=10/01/2025",'Dogs - 2025'!$E:$E,"&lt;=10/31/2025",'Dogs - 2025'!$J:$J,"DOA")</f>
        <v>0</v>
      </c>
      <c r="F44" s="10">
        <f t="shared" si="9"/>
        <v>0</v>
      </c>
      <c r="H44" t="s">
        <v>347</v>
      </c>
      <c r="I44">
        <f>COUNTIFS('Dogs - 2025'!$D:$D,"0-6 months",'Dogs - 2025'!$E:$E,"&gt;=10/01/2025",'Dogs - 2025'!$E:$E,"&lt;=10/31/2025",'Dogs - 2025'!$J:$J,"Shelter")</f>
        <v>0</v>
      </c>
      <c r="J44">
        <f>COUNTIFS('Dogs - 2025'!$D:$D,"6-12 months",'Dogs - 2025'!$E:$E,"&gt;=10/01/2025",'Dogs - 2025'!$E:$E,"&lt;=10/31/2025",'Dogs - 2025'!$J:$J,"Shelter")</f>
        <v>0</v>
      </c>
      <c r="K44">
        <f>COUNTIFS('Dogs - 2025'!$D:$D,"Adult",'Dogs - 2025'!$E:$E,"&gt;=10/01/2025",'Dogs - 2025'!$E:$E,"&lt;=10/31/2025",'Dogs - 2025'!$J:$J,"Shelter")</f>
        <v>0</v>
      </c>
      <c r="L44">
        <f>COUNTIFS('Dogs - 2025'!$D:$D,"Senior",'Dogs - 2025'!$E:$E,"&gt;=10/01/2025",'Dogs - 2025'!$E:$E,"&lt;=10/31/2025",'Dogs - 2025'!$J:$J,"Shelter")</f>
        <v>0</v>
      </c>
      <c r="M44" s="10">
        <f t="shared" si="10"/>
        <v>0</v>
      </c>
    </row>
    <row r="45" spans="1:13" x14ac:dyDescent="0.25">
      <c r="A45" t="s">
        <v>348</v>
      </c>
      <c r="B45">
        <f>COUNTIFS('Dogs - 2025'!$D:$D,"0-6 months",'Dogs - 2025'!$E:$E,"&gt;=11/01/2025",'Dogs - 2025'!$E:$E,"&lt;=11/30/2025",'Dogs - 2025'!$J:$J,"DOA")</f>
        <v>0</v>
      </c>
      <c r="C45">
        <f>COUNTIFS('Dogs - 2025'!$D:$D,"6-12 months",'Dogs - 2025'!$E:$E,"&gt;=11/01/2025",'Dogs - 2025'!$E:$E,"&lt;=11/30/2025",'Dogs - 2025'!$J:$J,"DOA")</f>
        <v>0</v>
      </c>
      <c r="D45">
        <f>COUNTIFS('Dogs - 2025'!$D:$D,"Adult",'Dogs - 2025'!$E:$E,"&gt;=11/01/2025",'Dogs - 2025'!$E:$E,"&lt;=11/30/2025",'Dogs - 2025'!$J:$J,"DOA")</f>
        <v>0</v>
      </c>
      <c r="E45">
        <f>COUNTIFS('Dogs - 2025'!$D:$D,"Senior",'Dogs - 2025'!$E:$E,"&gt;=11/01/2025",'Dogs - 2025'!$E:$E,"&lt;=11/30/2025",'Dogs - 2025'!$J:$J,"DOA")</f>
        <v>0</v>
      </c>
      <c r="F45" s="10">
        <f t="shared" si="9"/>
        <v>0</v>
      </c>
      <c r="H45" t="s">
        <v>348</v>
      </c>
      <c r="I45">
        <f>COUNTIFS('Dogs - 2025'!$D:$D,"0-6 months",'Dogs - 2025'!$E:$E,"&gt;=11/01/2025",'Dogs - 2025'!$E:$E,"&lt;=11/30/2025",'Dogs - 2025'!$J:$J,"Shelter")</f>
        <v>0</v>
      </c>
      <c r="J45">
        <f>COUNTIFS('Dogs - 2025'!$D:$D,"6-12 months",'Dogs - 2025'!$E:$E,"&gt;=11/01/2025",'Dogs - 2025'!$E:$E,"&lt;=11/30/2025",'Dogs - 2025'!$J:$J,"Shelter")</f>
        <v>0</v>
      </c>
      <c r="K45">
        <f>COUNTIFS('Dogs - 2025'!$D:$D,"Adult",'Dogs - 2025'!$E:$E,"&gt;=11/01/2025",'Dogs - 2025'!$E:$E,"&lt;=11/30/2025",'Dogs - 2025'!$J:$J,"Shelter")</f>
        <v>0</v>
      </c>
      <c r="L45">
        <f>COUNTIFS('Dogs - 2025'!$D:$D,"Senior",'Dogs - 2025'!$E:$E,"&gt;=11/01/2025",'Dogs - 2025'!$E:$E,"&lt;=11/30/2025",'Dogs - 2025'!$J:$J,"Shelter")</f>
        <v>0</v>
      </c>
      <c r="M45" s="10">
        <f t="shared" si="10"/>
        <v>0</v>
      </c>
    </row>
    <row r="46" spans="1:13" x14ac:dyDescent="0.25">
      <c r="A46" t="s">
        <v>349</v>
      </c>
      <c r="B46">
        <f>COUNTIFS('Dogs - 2025'!$D:$D,"0-6 months",'Dogs - 2025'!$E:$E,"&gt;=12/01/2025",'Dogs - 2025'!$E:$E,"&lt;=12/31/2025",'Dogs - 2025'!$J:$J,"DOA")</f>
        <v>0</v>
      </c>
      <c r="C46">
        <f>COUNTIFS('Dogs - 2025'!$D:$D,"6-12 months",'Dogs - 2025'!$E:$E,"&gt;=12/01/2025",'Dogs - 2025'!$E:$E,"&lt;=12/31/2025",'Dogs - 2025'!$J:$J,"DOA")</f>
        <v>0</v>
      </c>
      <c r="D46">
        <f>COUNTIFS('Dogs - 2025'!$D:$D,"Adult",'Dogs - 2025'!$E:$E,"&gt;=12/01/2025",'Dogs - 2025'!$E:$E,"&lt;=12/31/2025",'Dogs - 2025'!$J:$J,"DOA")</f>
        <v>0</v>
      </c>
      <c r="E46">
        <f>COUNTIFS('Dogs - 2025'!$D:$D,"Senior",'Dogs - 2025'!$E:$E,"&gt;=12/01/2025",'Dogs - 2025'!$E:$E,"&lt;=12/31/2025",'Dogs - 2025'!$J:$J,"DOA")</f>
        <v>0</v>
      </c>
      <c r="F46" s="10">
        <f t="shared" si="9"/>
        <v>0</v>
      </c>
      <c r="H46" t="s">
        <v>349</v>
      </c>
      <c r="I46">
        <f>COUNTIFS('Dogs - 2025'!$D:$D,"0-6 months",'Dogs - 2025'!$E:$E,"&gt;=12/01/2025",'Dogs - 2025'!$E:$E,"&lt;=12/31/2025",'Dogs - 2025'!$J:$J,"Shelter")</f>
        <v>0</v>
      </c>
      <c r="J46">
        <f>COUNTIFS('Dogs - 2025'!$D:$D,"6-12 months",'Dogs - 2025'!$E:$E,"&gt;=12/01/2025",'Dogs - 2025'!$E:$E,"&lt;=12/31/2025",'Dogs - 2025'!$J:$J,"Shelter")</f>
        <v>0</v>
      </c>
      <c r="K46">
        <f>COUNTIFS('Dogs - 2025'!$D:$D,"Adult",'Dogs - 2025'!$E:$E,"&gt;=12/01/2025",'Dogs - 2025'!$E:$E,"&lt;=12/31/2025",'Dogs - 2025'!$J:$J,"Shelter")</f>
        <v>0</v>
      </c>
      <c r="L46">
        <f>COUNTIFS('Dogs - 2025'!$D:$D,"Senior",'Dogs - 2025'!$E:$E,"&gt;=12/01/2025",'Dogs - 2025'!$E:$E,"&lt;=12/31/2025",'Dogs - 2025'!$J:$J,"Shelter")</f>
        <v>0</v>
      </c>
      <c r="M46" s="10">
        <f t="shared" si="10"/>
        <v>0</v>
      </c>
    </row>
    <row r="47" spans="1:13" x14ac:dyDescent="0.25">
      <c r="A47" s="13"/>
      <c r="B47" s="13">
        <f>SUM(B35:B46)</f>
        <v>6</v>
      </c>
      <c r="C47" s="13">
        <f t="shared" ref="C47" si="11">SUM(C35:C46)</f>
        <v>0</v>
      </c>
      <c r="D47" s="13">
        <f t="shared" ref="D47" si="12">SUM(D35:D46)</f>
        <v>2</v>
      </c>
      <c r="E47" s="13">
        <f t="shared" ref="E47" si="13">SUM(E35:E46)</f>
        <v>0</v>
      </c>
      <c r="F47" s="13">
        <f t="shared" ref="F47" si="14">SUM(F35:F46)</f>
        <v>8</v>
      </c>
      <c r="H47" s="13"/>
      <c r="I47" s="13">
        <f>SUM(I35:I46)</f>
        <v>8</v>
      </c>
      <c r="J47" s="13">
        <f t="shared" ref="J47" si="15">SUM(J35:J46)</f>
        <v>0</v>
      </c>
      <c r="K47" s="13">
        <f t="shared" ref="K47" si="16">SUM(K35:K46)</f>
        <v>7</v>
      </c>
      <c r="L47" s="13">
        <f t="shared" ref="L47" si="17">SUM(L35:L46)</f>
        <v>1</v>
      </c>
      <c r="M47" s="13">
        <f t="shared" ref="M47" si="18">SUM(M35:M46)</f>
        <v>16</v>
      </c>
    </row>
    <row r="49" spans="1:6" ht="24" x14ac:dyDescent="0.25">
      <c r="A49" s="35" t="s">
        <v>584</v>
      </c>
      <c r="B49" s="35"/>
      <c r="C49" s="35"/>
      <c r="D49" s="35"/>
      <c r="E49" s="35"/>
      <c r="F49" s="17">
        <f>F63/$F$15</f>
        <v>0.13973268529769137</v>
      </c>
    </row>
    <row r="50" spans="1:6" x14ac:dyDescent="0.25">
      <c r="A50" s="9"/>
      <c r="B50" s="14" t="s">
        <v>209</v>
      </c>
      <c r="C50" s="14" t="s">
        <v>210</v>
      </c>
      <c r="D50" s="14" t="s">
        <v>208</v>
      </c>
      <c r="E50" s="14" t="s">
        <v>211</v>
      </c>
      <c r="F50" s="15" t="s">
        <v>202</v>
      </c>
    </row>
    <row r="51" spans="1:6" x14ac:dyDescent="0.25">
      <c r="A51" t="s">
        <v>338</v>
      </c>
      <c r="B51">
        <f>COUNTIFS('Dogs - 2025'!$D:$D,"0-6 months",'Dogs - 2025'!$E:$E,"&gt;=01/01/2025",'Dogs - 2025'!$E:$E,"&lt;=1/31/2025",'Dogs - 2025'!$J:$J,"RTO")</f>
        <v>0</v>
      </c>
      <c r="C51">
        <f>COUNTIFS('Dogs - 2025'!$D:$D,"6-12 months",'Dogs - 2025'!$E:$E,"&gt;=01/01/2025",'Dogs - 2025'!$E:$E,"&lt;=1/31/2025",'Dogs - 2025'!$J:$J,"RTO")</f>
        <v>0</v>
      </c>
      <c r="D51">
        <f>COUNTIFS('Dogs - 2025'!$D:$D,"Adult",'Dogs - 2025'!$E:$E,"&gt;=01/01/2025",'Dogs - 2025'!$E:$E,"&lt;=1/31/2025",'Dogs - 2025'!$J:$J,"RTO")</f>
        <v>14</v>
      </c>
      <c r="E51">
        <f>COUNTIFS('Dogs - 2025'!$D:$D,"Senior",'Dogs - 2025'!$E:$E,"&gt;=01/01/2025",'Dogs - 2025'!$E:$E,"&lt;=1/31/2025",'Dogs - 2025'!$J:$J,"RTO")</f>
        <v>0</v>
      </c>
      <c r="F51" s="10">
        <f>SUM(B51:E51)</f>
        <v>14</v>
      </c>
    </row>
    <row r="52" spans="1:6" x14ac:dyDescent="0.25">
      <c r="A52" t="s">
        <v>339</v>
      </c>
      <c r="B52">
        <f>COUNTIFS('Dogs - 2025'!$D:$D,"0-6 months",'Dogs - 2025'!$E:$E,"&gt;=02/01/2025",'Dogs - 2025'!$E:$E,"&lt;=2/28/2025",'Dogs - 2025'!$J:$J,"RTO")</f>
        <v>0</v>
      </c>
      <c r="C52">
        <f>COUNTIFS('Dogs - 2025'!$D:$D,"6-12 months",'Dogs - 2025'!$E:$E,"&gt;=02/01/2025",'Dogs - 2025'!$E:$E,"&lt;=2/28/2025",'Dogs - 2025'!$J:$J,"RTO")</f>
        <v>0</v>
      </c>
      <c r="D52">
        <f>COUNTIFS('Dogs - 2025'!$D:$D,"Adult",'Dogs - 2025'!$E:$E,"&gt;=02/01/2025",'Dogs - 2025'!$E:$E,"&lt;=2/28/2025",'Dogs - 2025'!$J:$J,"RTO")</f>
        <v>9</v>
      </c>
      <c r="E52">
        <f>COUNTIFS('Dogs - 2025'!$D:$D,"Senior",'Dogs - 2025'!$E:$E,"&gt;=02/01/2025",'Dogs - 2025'!$E:$E,"&lt;=2/28/2025",'Dogs - 2025'!$J:$J,"RTO")</f>
        <v>2</v>
      </c>
      <c r="F52" s="10">
        <f t="shared" ref="F52:F62" si="19">SUM(B52:E52)</f>
        <v>11</v>
      </c>
    </row>
    <row r="53" spans="1:6" x14ac:dyDescent="0.25">
      <c r="A53" t="s">
        <v>340</v>
      </c>
      <c r="B53">
        <f>COUNTIFS('Dogs - 2025'!$D:$D,"0-6 months",'Dogs - 2025'!$E:$E,"&gt;=03/01/2025",'Dogs - 2025'!$E:$E,"&lt;=3/31/2025",'Dogs - 2025'!$J:$J,"RTO")</f>
        <v>0</v>
      </c>
      <c r="C53">
        <f>COUNTIFS('Dogs - 2025'!$D:$D,"6-12 months",'Dogs - 2025'!$E:$E,"&gt;=03/01/2025",'Dogs - 2025'!$E:$E,"&lt;=3/31/2025",'Dogs - 2025'!$J:$J,"RTO")</f>
        <v>0</v>
      </c>
      <c r="D53">
        <f>COUNTIFS('Dogs - 2025'!$D:$D,"Adult",'Dogs - 2025'!$E:$E,"&gt;=03/01/2025",'Dogs - 2025'!$E:$E,"&lt;=3/31/2025",'Dogs - 2025'!$J:$J,"RTO")</f>
        <v>14</v>
      </c>
      <c r="E53">
        <f>COUNTIFS('Dogs - 2025'!$D:$D,"Senior",'Dogs - 2025'!$E:$E,"&gt;=03/01/2025",'Dogs - 2025'!$E:$E,"&lt;=3/31/2025",'Dogs - 2025'!$J:$J,"RTO")</f>
        <v>1</v>
      </c>
      <c r="F53" s="10">
        <f t="shared" si="19"/>
        <v>15</v>
      </c>
    </row>
    <row r="54" spans="1:6" x14ac:dyDescent="0.25">
      <c r="A54" t="s">
        <v>341</v>
      </c>
      <c r="B54">
        <f>COUNTIFS('Dogs - 2025'!$D:$D,"0-6 months",'Dogs - 2025'!$E:$E,"&gt;=04/01/2025",'Dogs - 2025'!$E:$E,"&lt;=4/30/2025",'Dogs - 2025'!$J:$J,"RTO")</f>
        <v>2</v>
      </c>
      <c r="C54">
        <f>COUNTIFS('Dogs - 2025'!$D:$D,"6-12 months",'Dogs - 2025'!$E:$E,"&gt;=04/01/2025",'Dogs - 2025'!$E:$E,"&lt;=4/30/2025",'Dogs - 2025'!$J:$J,"RTO")</f>
        <v>0</v>
      </c>
      <c r="D54">
        <f>COUNTIFS('Dogs - 2025'!$D:$D,"Adult",'Dogs - 2025'!$E:$E,"&gt;=04/01/2025",'Dogs - 2025'!$E:$E,"&lt;=4/30/2025",'Dogs - 2025'!$J:$J,"RTO")</f>
        <v>11</v>
      </c>
      <c r="E54">
        <f>COUNTIFS('Dogs - 2025'!$D:$D,"Senior",'Dogs - 2025'!$E:$E,"&gt;=04/01/2025",'Dogs - 2025'!$E:$E,"&lt;=4/30/2025",'Dogs - 2025'!$J:$J,"RTO")</f>
        <v>1</v>
      </c>
      <c r="F54" s="10">
        <f t="shared" si="19"/>
        <v>14</v>
      </c>
    </row>
    <row r="55" spans="1:6" x14ac:dyDescent="0.25">
      <c r="A55" t="s">
        <v>342</v>
      </c>
      <c r="B55">
        <f>COUNTIFS('Dogs - 2025'!$D:$D,"0-6 months",'Dogs - 2025'!$E:$E,"&gt;=05/01/2025",'Dogs - 2025'!$E:$E,"&lt;=5/31/2025",'Dogs - 2025'!$J:$J,"RTO")</f>
        <v>1</v>
      </c>
      <c r="C55">
        <f>COUNTIFS('Dogs - 2025'!$D:$D,"6-12 months",'Dogs - 2025'!$E:$E,"&gt;=05/01/2025",'Dogs - 2025'!$E:$E,"&lt;=5/31/2025",'Dogs - 2025'!$J:$J,"RTO")</f>
        <v>1</v>
      </c>
      <c r="D55">
        <f>COUNTIFS('Dogs - 2025'!$D:$D,"Adult",'Dogs - 2025'!$E:$E,"&gt;=05/01/2025",'Dogs - 2025'!$E:$E,"&lt;=5/31/2025",'Dogs - 2025'!$J:$J,"RTO")</f>
        <v>22</v>
      </c>
      <c r="E55">
        <f>COUNTIFS('Dogs - 2025'!$D:$D,"Senior",'Dogs - 2025'!$E:$E,"&gt;=05/01/2025",'Dogs - 2025'!$E:$E,"&lt;=5/31/2025",'Dogs - 2025'!$J:$J,"RTO")</f>
        <v>2</v>
      </c>
      <c r="F55" s="10">
        <f t="shared" si="19"/>
        <v>26</v>
      </c>
    </row>
    <row r="56" spans="1:6" x14ac:dyDescent="0.25">
      <c r="A56" t="s">
        <v>343</v>
      </c>
      <c r="B56">
        <f>COUNTIFS('Dogs - 2025'!$D:$D,"0-6 months",'Dogs - 2025'!$E:$E,"&gt;=06/01/2025",'Dogs - 2025'!$E:$E,"&lt;=6/30/2025",'Dogs - 2025'!$J:$J,"RTO")</f>
        <v>1</v>
      </c>
      <c r="C56">
        <f>COUNTIFS('Dogs - 2025'!$D:$D,"6-12 months",'Dogs - 2025'!$E:$E,"&gt;=06/01/2025",'Dogs - 2025'!$E:$E,"&lt;=6/30/2025",'Dogs - 2025'!$J:$J,"RTO")</f>
        <v>0</v>
      </c>
      <c r="D56">
        <f>COUNTIFS('Dogs - 2025'!$D:$D,"Adult",'Dogs - 2025'!$E:$E,"&gt;=06/01/2025",'Dogs - 2025'!$E:$E,"&lt;=6/30/2025",'Dogs - 2025'!$J:$J,"RTO")</f>
        <v>18</v>
      </c>
      <c r="E56">
        <f>COUNTIFS('Dogs - 2025'!$D:$D,"Senior",'Dogs - 2025'!$E:$E,"&gt;=06/01/2025",'Dogs - 2025'!$E:$E,"&lt;=6/30/2025",'Dogs - 2025'!$J:$J,"RTO")</f>
        <v>0</v>
      </c>
      <c r="F56" s="10">
        <f t="shared" si="19"/>
        <v>19</v>
      </c>
    </row>
    <row r="57" spans="1:6" x14ac:dyDescent="0.25">
      <c r="A57" t="s">
        <v>344</v>
      </c>
      <c r="B57">
        <f>COUNTIFS('Dogs - 2025'!$D:$D,"0-6 months",'Dogs - 2025'!$E:$E,"&gt;=07/01/2025",'Dogs - 2025'!$E:$E,"&lt;=7/31/2025",'Dogs - 2025'!$J:$J,"RTO")</f>
        <v>0</v>
      </c>
      <c r="C57">
        <f>COUNTIFS('Dogs - 2025'!$D:$D,"6-12 months",'Dogs - 2025'!$E:$E,"&gt;=07/01/2025",'Dogs - 2025'!$E:$E,"&lt;=7/31/2025",'Dogs - 2025'!$J:$J,"RTO")</f>
        <v>1</v>
      </c>
      <c r="D57">
        <f>COUNTIFS('Dogs - 2025'!$D:$D,"Adult",'Dogs - 2025'!$E:$E,"&gt;=07/01/2025",'Dogs - 2025'!$E:$E,"&lt;=7/31/2025",'Dogs - 2025'!$J:$J,"RTO")</f>
        <v>15</v>
      </c>
      <c r="E57">
        <f>COUNTIFS('Dogs - 2025'!$D:$D,"Senior",'Dogs - 2025'!$E:$E,"&gt;=07/01/2025",'Dogs - 2025'!$E:$E,"&lt;=7/31/2025",'Dogs - 2025'!$J:$J,"RTO")</f>
        <v>0</v>
      </c>
      <c r="F57" s="10">
        <f t="shared" si="19"/>
        <v>16</v>
      </c>
    </row>
    <row r="58" spans="1:6" x14ac:dyDescent="0.25">
      <c r="A58" t="s">
        <v>345</v>
      </c>
      <c r="B58">
        <f>COUNTIFS('Dogs - 2025'!$D:$D,"0-6 months",'Dogs - 2025'!$E:$E,"&gt;=08/01/2025",'Dogs - 2025'!$E:$E,"&lt;=8/31/2025",'Dogs - 2025'!$J:$J,"RTO")</f>
        <v>0</v>
      </c>
      <c r="C58">
        <f>COUNTIFS('Dogs - 2025'!$D:$D,"6-12 months",'Dogs - 2025'!$E:$E,"&gt;=08/01/2025",'Dogs - 2025'!$E:$E,"&lt;=8/31/2025",'Dogs - 2025'!$J:$J,"RTO")</f>
        <v>0</v>
      </c>
      <c r="D58">
        <f>COUNTIFS('Dogs - 2025'!$D:$D,"Adult",'Dogs - 2025'!$E:$E,"&gt;=08/01/2025",'Dogs - 2025'!$E:$E,"&lt;=8/31/2025",'Dogs - 2025'!$J:$J,"RTO")</f>
        <v>0</v>
      </c>
      <c r="E58">
        <f>COUNTIFS('Dogs - 2025'!$D:$D,"Senior",'Dogs - 2025'!$E:$E,"&gt;=08/01/2025",'Dogs - 2025'!$E:$E,"&lt;=8/31/2025",'Dogs - 2025'!$J:$J,"RTO")</f>
        <v>0</v>
      </c>
      <c r="F58" s="10">
        <f t="shared" si="19"/>
        <v>0</v>
      </c>
    </row>
    <row r="59" spans="1:6" x14ac:dyDescent="0.25">
      <c r="A59" t="s">
        <v>346</v>
      </c>
      <c r="B59">
        <f>COUNTIFS('Dogs - 2025'!$D:$D,"0-6 months",'Dogs - 2025'!$E:$E,"&gt;=09/01/2025",'Dogs - 2025'!$E:$E,"&lt;=9/30/2025",'Dogs - 2025'!$J:$J,"RTO")</f>
        <v>0</v>
      </c>
      <c r="C59">
        <f>COUNTIFS('Dogs - 2025'!$D:$D,"6-12 months",'Dogs - 2025'!$E:$E,"&gt;=09/01/2025",'Dogs - 2025'!$E:$E,"&lt;=9/30/2025",'Dogs - 2025'!$J:$J,"RTO")</f>
        <v>0</v>
      </c>
      <c r="D59">
        <f>COUNTIFS('Dogs - 2025'!$D:$D,"Adult",'Dogs - 2025'!$E:$E,"&gt;=09/01/2025",'Dogs - 2025'!$E:$E,"&lt;=9/30/2025",'Dogs - 2025'!$J:$J,"RTO")</f>
        <v>0</v>
      </c>
      <c r="E59">
        <f>COUNTIFS('Dogs - 2025'!$D:$D,"Senior",'Dogs - 2025'!$E:$E,"&gt;=09/01/2025",'Dogs - 2025'!$E:$E,"&lt;=9/30/2025",'Dogs - 2025'!$J:$J,"RTO")</f>
        <v>0</v>
      </c>
      <c r="F59" s="10">
        <f t="shared" si="19"/>
        <v>0</v>
      </c>
    </row>
    <row r="60" spans="1:6" x14ac:dyDescent="0.25">
      <c r="A60" t="s">
        <v>347</v>
      </c>
      <c r="B60">
        <f>COUNTIFS('Dogs - 2025'!$D:$D,"0-6 months",'Dogs - 2025'!$E:$E,"&gt;=10/01/2025",'Dogs - 2025'!$E:$E,"&lt;=10/31/2025",'Dogs - 2025'!$J:$J,"RTO")</f>
        <v>0</v>
      </c>
      <c r="C60">
        <f>COUNTIFS('Dogs - 2025'!$D:$D,"6-12 months",'Dogs - 2025'!$E:$E,"&gt;=10/01/2025",'Dogs - 2025'!$E:$E,"&lt;=10/31/2025",'Dogs - 2025'!$J:$J,"RTO")</f>
        <v>0</v>
      </c>
      <c r="D60">
        <f>COUNTIFS('Dogs - 2025'!$D:$D,"Adult",'Dogs - 2025'!$E:$E,"&gt;=10/01/2025",'Dogs - 2025'!$E:$E,"&lt;=10/31/2025",'Dogs - 2025'!$J:$J,"RTO")</f>
        <v>0</v>
      </c>
      <c r="E60">
        <f>COUNTIFS('Dogs - 2025'!$D:$D,"Senior",'Dogs - 2025'!$E:$E,"&gt;=10/01/2025",'Dogs - 2025'!$E:$E,"&lt;=10/31/2025",'Dogs - 2025'!$J:$J,"RTO")</f>
        <v>0</v>
      </c>
      <c r="F60" s="10">
        <f t="shared" si="19"/>
        <v>0</v>
      </c>
    </row>
    <row r="61" spans="1:6" x14ac:dyDescent="0.25">
      <c r="A61" t="s">
        <v>348</v>
      </c>
      <c r="B61">
        <f>COUNTIFS('Dogs - 2025'!$D:$D,"0-6 months",'Dogs - 2025'!$E:$E,"&gt;=11/01/2025",'Dogs - 2025'!$E:$E,"&lt;=11/30/2025",'Dogs - 2025'!$J:$J,"RTO")</f>
        <v>0</v>
      </c>
      <c r="C61">
        <f>COUNTIFS('Dogs - 2025'!$D:$D,"6-12 months",'Dogs - 2025'!$E:$E,"&gt;=11/01/2025",'Dogs - 2025'!$E:$E,"&lt;=11/30/2025",'Dogs - 2025'!$J:$J,"RTO")</f>
        <v>0</v>
      </c>
      <c r="D61">
        <f>COUNTIFS('Dogs - 2025'!$D:$D,"Adult",'Dogs - 2025'!$E:$E,"&gt;=11/01/2025",'Dogs - 2025'!$E:$E,"&lt;=11/30/2025",'Dogs - 2025'!$J:$J,"RTO")</f>
        <v>0</v>
      </c>
      <c r="E61">
        <f>COUNTIFS('Dogs - 2025'!$D:$D,"Senior",'Dogs - 2025'!$E:$E,"&gt;=11/01/2025",'Dogs - 2025'!$E:$E,"&lt;=11/30/2025",'Dogs - 2025'!$J:$J,"RTO")</f>
        <v>0</v>
      </c>
      <c r="F61" s="10">
        <f t="shared" si="19"/>
        <v>0</v>
      </c>
    </row>
    <row r="62" spans="1:6" x14ac:dyDescent="0.25">
      <c r="A62" t="s">
        <v>349</v>
      </c>
      <c r="B62">
        <f>COUNTIFS('Dogs - 2025'!$D:$D,"0-6 months",'Dogs - 2025'!$E:$E,"&gt;=12/01/2025",'Dogs - 2025'!$E:$E,"&lt;=12/31/2025",'Dogs - 2025'!$J:$J,"RTO")</f>
        <v>0</v>
      </c>
      <c r="C62">
        <f>COUNTIFS('Dogs - 2025'!$D:$D,"6-12 months",'Dogs - 2025'!$E:$E,"&gt;=12/01/2025",'Dogs - 2025'!$E:$E,"&lt;=12/31/2025",'Dogs - 2025'!$J:$J,"RTO")</f>
        <v>0</v>
      </c>
      <c r="D62">
        <f>COUNTIFS('Dogs - 2025'!$D:$D,"Adult",'Dogs - 2025'!$E:$E,"&gt;=12/01/2025",'Dogs - 2025'!$E:$E,"&lt;=12/31/2025",'Dogs - 2025'!$J:$J,"RTO")</f>
        <v>0</v>
      </c>
      <c r="E62">
        <f>COUNTIFS('Dogs - 2025'!$D:$D,"Senior",'Dogs - 2025'!$E:$E,"&gt;=12/01/2025",'Dogs - 2025'!$E:$E,"&lt;=12/31/2025",'Dogs - 2025'!$J:$J,"RTO")</f>
        <v>0</v>
      </c>
      <c r="F62" s="10">
        <f t="shared" si="19"/>
        <v>0</v>
      </c>
    </row>
    <row r="63" spans="1:6" x14ac:dyDescent="0.25">
      <c r="A63" s="13"/>
      <c r="B63" s="13">
        <f>SUM(B51:B62)</f>
        <v>4</v>
      </c>
      <c r="C63" s="13">
        <f t="shared" ref="C63" si="20">SUM(C51:C62)</f>
        <v>2</v>
      </c>
      <c r="D63" s="13">
        <f t="shared" ref="D63" si="21">SUM(D51:D62)</f>
        <v>103</v>
      </c>
      <c r="E63" s="13">
        <f t="shared" ref="E63" si="22">SUM(E51:E62)</f>
        <v>6</v>
      </c>
      <c r="F63" s="13">
        <f t="shared" ref="F63" si="23">SUM(F51:F62)</f>
        <v>115</v>
      </c>
    </row>
  </sheetData>
  <mergeCells count="8">
    <mergeCell ref="M1:N1"/>
    <mergeCell ref="A33:E33"/>
    <mergeCell ref="H33:L33"/>
    <mergeCell ref="A49:E49"/>
    <mergeCell ref="A1:E1"/>
    <mergeCell ref="H1:L1"/>
    <mergeCell ref="A17:E17"/>
    <mergeCell ref="H17:L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07B50-64FF-5E4F-942E-45A51EDDA0D8}">
  <dimension ref="A1"/>
  <sheetViews>
    <sheetView workbookViewId="0">
      <selection activeCell="J30" sqref="J30"/>
    </sheetView>
  </sheetViews>
  <sheetFormatPr defaultColWidth="11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Template</vt:lpstr>
      <vt:lpstr>Cats - 2025</vt:lpstr>
      <vt:lpstr>Cat Report</vt:lpstr>
      <vt:lpstr>Dogs - 2025</vt:lpstr>
      <vt:lpstr>Dog Report</vt:lpstr>
      <vt:lpstr>Other - 2025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Hoover</dc:creator>
  <cp:lastModifiedBy>Tanya Martin</cp:lastModifiedBy>
  <dcterms:created xsi:type="dcterms:W3CDTF">2025-08-24T15:34:18Z</dcterms:created>
  <dcterms:modified xsi:type="dcterms:W3CDTF">2025-09-11T18:38:01Z</dcterms:modified>
</cp:coreProperties>
</file>